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s\Dropbox\Ekonomi JH\2021\"/>
    </mc:Choice>
  </mc:AlternateContent>
  <xr:revisionPtr revIDLastSave="0" documentId="13_ncr:1_{8DB580F4-CB10-4C70-89BC-128130751797}" xr6:coauthVersionLast="45" xr6:coauthVersionMax="45" xr10:uidLastSave="{00000000-0000-0000-0000-000000000000}"/>
  <bookViews>
    <workbookView xWindow="-108" yWindow="-108" windowWidth="23256" windowHeight="12600" xr2:uid="{3CB6E4FF-E80C-4611-A00A-A5A9C8BD7D26}"/>
  </bookViews>
  <sheets>
    <sheet name="Finansplan 2019-2030" sheetId="2" r:id="rId1"/>
  </sheets>
  <definedNames>
    <definedName name="_xlnm.Print_Area" localSheetId="0">'Finansplan 2019-2030'!$A$1:$M$44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2" l="1"/>
  <c r="M15" i="2" s="1"/>
  <c r="E15" i="2"/>
  <c r="F15" i="2" s="1"/>
  <c r="G15" i="2" s="1"/>
  <c r="H15" i="2" s="1"/>
  <c r="I15" i="2" s="1"/>
  <c r="J15" i="2" s="1"/>
  <c r="M6" i="2" l="1"/>
  <c r="L6" i="2"/>
  <c r="K6" i="2"/>
  <c r="J6" i="2"/>
  <c r="I6" i="2"/>
  <c r="H6" i="2"/>
  <c r="G6" i="2"/>
  <c r="M5" i="2"/>
  <c r="L5" i="2"/>
  <c r="K5" i="2"/>
  <c r="J5" i="2"/>
  <c r="I5" i="2"/>
  <c r="H5" i="2"/>
  <c r="G5" i="2"/>
  <c r="F6" i="2"/>
  <c r="F5" i="2"/>
  <c r="E6" i="2"/>
  <c r="E5" i="2"/>
  <c r="D6" i="2"/>
  <c r="F11" i="2" l="1"/>
  <c r="G11" i="2" s="1"/>
  <c r="H11" i="2" s="1"/>
  <c r="I11" i="2" s="1"/>
  <c r="J11" i="2" s="1"/>
  <c r="K11" i="2" s="1"/>
  <c r="L11" i="2" s="1"/>
  <c r="M11" i="2" s="1"/>
  <c r="E7" i="2"/>
  <c r="F7" i="2" s="1"/>
  <c r="G7" i="2" s="1"/>
  <c r="H7" i="2" s="1"/>
  <c r="I7" i="2" s="1"/>
  <c r="J7" i="2" s="1"/>
  <c r="K7" i="2" s="1"/>
  <c r="L7" i="2" s="1"/>
  <c r="M7" i="2" s="1"/>
  <c r="E9" i="2"/>
  <c r="F9" i="2" s="1"/>
  <c r="G9" i="2" s="1"/>
  <c r="H9" i="2" s="1"/>
  <c r="I9" i="2" s="1"/>
  <c r="J9" i="2" s="1"/>
  <c r="K9" i="2" s="1"/>
  <c r="L9" i="2" s="1"/>
  <c r="M9" i="2" s="1"/>
  <c r="E10" i="2"/>
  <c r="F10" i="2" s="1"/>
  <c r="G10" i="2" s="1"/>
  <c r="H10" i="2" s="1"/>
  <c r="I10" i="2" s="1"/>
  <c r="J10" i="2" s="1"/>
  <c r="K10" i="2" s="1"/>
  <c r="L10" i="2" s="1"/>
  <c r="M10" i="2" s="1"/>
  <c r="D21" i="2"/>
  <c r="E21" i="2" s="1"/>
  <c r="F21" i="2" s="1"/>
  <c r="G21" i="2" s="1"/>
  <c r="H21" i="2" s="1"/>
  <c r="I21" i="2" s="1"/>
  <c r="J21" i="2" s="1"/>
  <c r="K21" i="2" s="1"/>
  <c r="L21" i="2" s="1"/>
  <c r="M21" i="2" s="1"/>
  <c r="D22" i="2"/>
  <c r="E22" i="2" s="1"/>
  <c r="E18" i="2" l="1"/>
  <c r="F18" i="2" s="1"/>
  <c r="G18" i="2" s="1"/>
  <c r="H18" i="2" s="1"/>
  <c r="M16" i="2"/>
  <c r="L16" i="2"/>
  <c r="K16" i="2"/>
  <c r="J16" i="2"/>
  <c r="I16" i="2"/>
  <c r="H16" i="2"/>
  <c r="G16" i="2"/>
  <c r="F16" i="2"/>
  <c r="E16" i="2"/>
  <c r="D16" i="2"/>
  <c r="D25" i="2" s="1"/>
  <c r="B41" i="2"/>
  <c r="B42" i="2" s="1"/>
  <c r="D12" i="2"/>
  <c r="E12" i="2"/>
  <c r="F12" i="2"/>
  <c r="G12" i="2"/>
  <c r="H12" i="2"/>
  <c r="I12" i="2"/>
  <c r="J12" i="2"/>
  <c r="K12" i="2"/>
  <c r="L12" i="2"/>
  <c r="M12" i="2"/>
  <c r="B21" i="2"/>
  <c r="B25" i="2" s="1"/>
  <c r="B28" i="2" s="1"/>
  <c r="C18" i="2"/>
  <c r="C25" i="2" s="1"/>
  <c r="C11" i="2"/>
  <c r="C12" i="2" s="1"/>
  <c r="E25" i="2" l="1"/>
  <c r="E28" i="2" s="1"/>
  <c r="E32" i="2" s="1"/>
  <c r="E41" i="2" s="1"/>
  <c r="H25" i="2"/>
  <c r="H28" i="2" s="1"/>
  <c r="H32" i="2" s="1"/>
  <c r="H41" i="2" s="1"/>
  <c r="I18" i="2"/>
  <c r="J18" i="2" s="1"/>
  <c r="K18" i="2" s="1"/>
  <c r="G25" i="2"/>
  <c r="G28" i="2" s="1"/>
  <c r="G32" i="2" s="1"/>
  <c r="G41" i="2" s="1"/>
  <c r="F25" i="2"/>
  <c r="F28" i="2" s="1"/>
  <c r="F32" i="2" s="1"/>
  <c r="F41" i="2" s="1"/>
  <c r="D28" i="2"/>
  <c r="D29" i="2" s="1"/>
  <c r="C28" i="2"/>
  <c r="C32" i="2" s="1"/>
  <c r="C41" i="2" s="1"/>
  <c r="C42" i="2" s="1"/>
  <c r="D31" i="2" s="1"/>
  <c r="E29" i="2" l="1"/>
  <c r="F29" i="2" s="1"/>
  <c r="G29" i="2" s="1"/>
  <c r="H29" i="2" s="1"/>
  <c r="J25" i="2"/>
  <c r="J28" i="2" s="1"/>
  <c r="J32" i="2" s="1"/>
  <c r="J41" i="2" s="1"/>
  <c r="L18" i="2"/>
  <c r="L25" i="2" s="1"/>
  <c r="L28" i="2" s="1"/>
  <c r="L32" i="2" s="1"/>
  <c r="L41" i="2" s="1"/>
  <c r="K25" i="2"/>
  <c r="K28" i="2" s="1"/>
  <c r="K32" i="2" s="1"/>
  <c r="K41" i="2" s="1"/>
  <c r="I25" i="2"/>
  <c r="I28" i="2" s="1"/>
  <c r="I32" i="2" s="1"/>
  <c r="I41" i="2" s="1"/>
  <c r="D32" i="2"/>
  <c r="D41" i="2" s="1"/>
  <c r="D42" i="2" s="1"/>
  <c r="E31" i="2" s="1"/>
  <c r="E42" i="2" s="1"/>
  <c r="F31" i="2" s="1"/>
  <c r="F42" i="2" s="1"/>
  <c r="G31" i="2" s="1"/>
  <c r="G42" i="2" s="1"/>
  <c r="H31" i="2" s="1"/>
  <c r="H42" i="2" s="1"/>
  <c r="I31" i="2" s="1"/>
  <c r="I42" i="2" l="1"/>
  <c r="J31" i="2" s="1"/>
  <c r="J42" i="2" s="1"/>
  <c r="K31" i="2" s="1"/>
  <c r="K42" i="2" s="1"/>
  <c r="L31" i="2" s="1"/>
  <c r="L42" i="2" s="1"/>
  <c r="M31" i="2" s="1"/>
  <c r="M18" i="2"/>
  <c r="M25" i="2" s="1"/>
  <c r="M28" i="2" s="1"/>
  <c r="M32" i="2" s="1"/>
  <c r="M41" i="2" s="1"/>
  <c r="I29" i="2"/>
  <c r="J29" i="2" s="1"/>
  <c r="K29" i="2" s="1"/>
  <c r="L29" i="2" s="1"/>
  <c r="M42" i="2" l="1"/>
  <c r="M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Jonas</author>
  </authors>
  <commentList>
    <comment ref="D5" authorId="0" shapeId="0" xr:uid="{E3B5C480-F0ED-4923-8E89-32478566D080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60 nya
</t>
        </r>
      </text>
    </comment>
    <comment ref="D6" authorId="0" shapeId="0" xr:uid="{70D8F345-AA8E-47E9-9775-DC98225628F0}">
      <text>
        <r>
          <rPr>
            <b/>
            <sz val="9"/>
            <color indexed="81"/>
            <rFont val="Tahoma"/>
            <family val="2"/>
          </rPr>
          <t>Jonas:</t>
        </r>
        <r>
          <rPr>
            <sz val="9"/>
            <color indexed="81"/>
            <rFont val="Tahoma"/>
            <family val="2"/>
          </rPr>
          <t xml:space="preserve">
390+60-10=440
</t>
        </r>
      </text>
    </comment>
  </commentList>
</comments>
</file>

<file path=xl/sharedStrings.xml><?xml version="1.0" encoding="utf-8"?>
<sst xmlns="http://schemas.openxmlformats.org/spreadsheetml/2006/main" count="44" uniqueCount="41">
  <si>
    <t>Intäkter</t>
  </si>
  <si>
    <t>Kostnader</t>
  </si>
  <si>
    <t>Eget kapital</t>
  </si>
  <si>
    <t>UTFALL</t>
  </si>
  <si>
    <t>BUDGET</t>
  </si>
  <si>
    <t>PROGNOS -&gt;</t>
  </si>
  <si>
    <t>Medlemsavgifter</t>
  </si>
  <si>
    <t>Inträdesavgifter</t>
  </si>
  <si>
    <t>Bryggavgifter</t>
  </si>
  <si>
    <t>Jolle/sjösport</t>
  </si>
  <si>
    <t>Övriga intäkter</t>
  </si>
  <si>
    <t>Summa intäkter</t>
  </si>
  <si>
    <t>Arrende Tyresö kommun</t>
  </si>
  <si>
    <t>SBU/SMBF</t>
  </si>
  <si>
    <t>Seglarförbundet</t>
  </si>
  <si>
    <t>Avskrivningar 5 år / 25 år</t>
  </si>
  <si>
    <t>Borgensavgift 0,4%, Tyresö kommun</t>
  </si>
  <si>
    <t>-</t>
  </si>
  <si>
    <t>Räntekostnader</t>
  </si>
  <si>
    <t>Summa kostnader</t>
  </si>
  <si>
    <t>Resultat</t>
  </si>
  <si>
    <t>Årets resultat</t>
  </si>
  <si>
    <t>Kassa 1/1</t>
  </si>
  <si>
    <t>Resultat kassaflödespåverkande</t>
  </si>
  <si>
    <t>Årets kassaflöde</t>
  </si>
  <si>
    <t>Kassa 31/12</t>
  </si>
  <si>
    <t>Bojplatsavgifter</t>
  </si>
  <si>
    <t>Vinterplatsavgifter</t>
  </si>
  <si>
    <t>Fordringar/skulder mot kassan</t>
  </si>
  <si>
    <t>Tyresö Strands Båtklubb - Finansplan 2019 - 2030</t>
  </si>
  <si>
    <t>Övriga driftskostnader</t>
  </si>
  <si>
    <t>Administration</t>
  </si>
  <si>
    <t>Investeringar/tillgångar:</t>
  </si>
  <si>
    <t>Digitala lås/elbommar</t>
  </si>
  <si>
    <t>Belysning/kameror/bevakning</t>
  </si>
  <si>
    <t>Förändring medlemslån - återbetalning</t>
  </si>
  <si>
    <t>Amortering banklån, 10%</t>
  </si>
  <si>
    <t>Bastuflotte, självbyggd</t>
  </si>
  <si>
    <t>Underhållskostnader 1)</t>
  </si>
  <si>
    <t>1) varav 100000 kr rep. el och vatten till bryggorna samt netto 180000 kr till ansiktslyft strand/ramp mellan brygga 1 och 2.</t>
  </si>
  <si>
    <t>Renovering/anpassning bodar e. bidrag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</si>
</sst>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r_-;\-* #,##0\ _k_r_-;_-* &quot;-&quot;??\ _k_r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14" fontId="0" fillId="0" borderId="0" xfId="0" applyNumberFormat="1" applyAlignment="1">
      <alignment horizontal="left"/>
    </xf>
    <xf numFmtId="0" fontId="8" fillId="0" borderId="0" xfId="0" applyFont="1"/>
    <xf numFmtId="0" fontId="8" fillId="0" borderId="2" xfId="0" applyFont="1" applyBorder="1"/>
    <xf numFmtId="164" fontId="4" fillId="0" borderId="0" xfId="0" applyNumberFormat="1" applyFont="1"/>
    <xf numFmtId="164" fontId="4" fillId="0" borderId="2" xfId="0" applyNumberFormat="1" applyFont="1" applyBorder="1"/>
    <xf numFmtId="38" fontId="4" fillId="0" borderId="0" xfId="0" applyNumberFormat="1" applyFont="1"/>
    <xf numFmtId="164" fontId="2" fillId="0" borderId="5" xfId="0" applyNumberFormat="1" applyFont="1" applyBorder="1"/>
    <xf numFmtId="164" fontId="2" fillId="0" borderId="0" xfId="1" applyNumberFormat="1" applyFont="1"/>
    <xf numFmtId="164" fontId="2" fillId="0" borderId="2" xfId="1" applyNumberFormat="1" applyFont="1" applyBorder="1"/>
    <xf numFmtId="164" fontId="2" fillId="0" borderId="0" xfId="0" applyNumberFormat="1" applyFont="1"/>
    <xf numFmtId="164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0" fillId="0" borderId="0" xfId="0" applyNumberFormat="1" applyFont="1"/>
    <xf numFmtId="164" fontId="0" fillId="0" borderId="2" xfId="0" applyNumberFormat="1" applyFont="1" applyBorder="1"/>
    <xf numFmtId="38" fontId="2" fillId="0" borderId="8" xfId="1" applyNumberFormat="1" applyFont="1" applyBorder="1" applyAlignment="1">
      <alignment horizontal="center" vertical="center"/>
    </xf>
    <xf numFmtId="38" fontId="2" fillId="0" borderId="7" xfId="1" applyNumberFormat="1" applyFont="1" applyBorder="1" applyAlignment="1">
      <alignment horizontal="center" vertical="center"/>
    </xf>
    <xf numFmtId="38" fontId="2" fillId="0" borderId="9" xfId="0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0" fillId="2" borderId="0" xfId="0" applyFont="1" applyFill="1"/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6" xfId="0" applyFont="1" applyBorder="1"/>
    <xf numFmtId="0" fontId="11" fillId="0" borderId="0" xfId="0" applyFont="1"/>
    <xf numFmtId="3" fontId="6" fillId="0" borderId="0" xfId="0" applyNumberFormat="1" applyFont="1"/>
    <xf numFmtId="38" fontId="6" fillId="0" borderId="7" xfId="1" applyNumberFormat="1" applyFont="1" applyBorder="1"/>
    <xf numFmtId="3" fontId="2" fillId="0" borderId="9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164" fontId="2" fillId="0" borderId="6" xfId="0" applyNumberFormat="1" applyFont="1" applyBorder="1"/>
    <xf numFmtId="3" fontId="0" fillId="0" borderId="0" xfId="0" applyNumberFormat="1"/>
    <xf numFmtId="3" fontId="14" fillId="0" borderId="9" xfId="0" applyNumberFormat="1" applyFont="1" applyBorder="1" applyAlignment="1">
      <alignment horizontal="center"/>
    </xf>
    <xf numFmtId="3" fontId="14" fillId="0" borderId="6" xfId="0" applyNumberFormat="1" applyFont="1" applyBorder="1" applyAlignment="1">
      <alignment horizontal="center"/>
    </xf>
    <xf numFmtId="3" fontId="2" fillId="0" borderId="11" xfId="0" applyNumberFormat="1" applyFont="1" applyBorder="1"/>
    <xf numFmtId="0" fontId="5" fillId="0" borderId="0" xfId="0" applyFont="1" applyFill="1" applyBorder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69FFA-F4BA-4D87-9C5E-67E6509D791F}">
  <dimension ref="A1:P46"/>
  <sheetViews>
    <sheetView tabSelected="1" zoomScale="115" zoomScaleNormal="115" workbookViewId="0">
      <selection activeCell="F2" sqref="F2"/>
    </sheetView>
  </sheetViews>
  <sheetFormatPr defaultRowHeight="14.4" x14ac:dyDescent="0.3"/>
  <cols>
    <col min="1" max="1" width="37.6640625" customWidth="1"/>
    <col min="2" max="13" width="13.77734375" customWidth="1"/>
    <col min="15" max="16" width="9.5546875" bestFit="1" customWidth="1"/>
  </cols>
  <sheetData>
    <row r="1" spans="1:13" ht="24" thickBot="1" x14ac:dyDescent="0.5">
      <c r="A1" s="2" t="s">
        <v>29</v>
      </c>
      <c r="B1" s="4"/>
      <c r="C1" s="5"/>
      <c r="D1" s="5"/>
      <c r="E1" s="4"/>
      <c r="F1" s="4"/>
      <c r="G1" s="4"/>
      <c r="H1" s="4"/>
      <c r="I1" s="4"/>
      <c r="J1" s="4"/>
      <c r="K1" s="4"/>
      <c r="L1" s="4"/>
      <c r="M1" s="4"/>
    </row>
    <row r="2" spans="1:13" ht="24.6" customHeight="1" x14ac:dyDescent="0.4">
      <c r="A2" s="6"/>
      <c r="B2" s="31" t="s">
        <v>3</v>
      </c>
      <c r="C2" s="31" t="s">
        <v>3</v>
      </c>
      <c r="D2" s="31" t="s">
        <v>4</v>
      </c>
      <c r="E2" s="3" t="s">
        <v>5</v>
      </c>
      <c r="F2" s="7"/>
      <c r="G2" s="7"/>
      <c r="H2" s="7"/>
      <c r="I2" s="7"/>
      <c r="J2" s="7"/>
      <c r="K2" s="7"/>
      <c r="L2" s="7"/>
      <c r="M2" s="7"/>
    </row>
    <row r="3" spans="1:13" ht="21" x14ac:dyDescent="0.4">
      <c r="A3" s="7"/>
      <c r="B3" s="8"/>
      <c r="C3" s="8"/>
      <c r="D3" s="8"/>
      <c r="E3" s="7"/>
      <c r="F3" s="7"/>
      <c r="G3" s="7"/>
      <c r="H3" s="7"/>
      <c r="I3" s="7"/>
      <c r="J3" s="7"/>
      <c r="K3" s="7"/>
      <c r="L3" s="7"/>
      <c r="M3" s="7"/>
    </row>
    <row r="4" spans="1:13" s="1" customFormat="1" ht="18" x14ac:dyDescent="0.35">
      <c r="A4" s="26" t="s">
        <v>0</v>
      </c>
      <c r="B4" s="28">
        <v>2019</v>
      </c>
      <c r="C4" s="27">
        <v>2020</v>
      </c>
      <c r="D4" s="27">
        <v>2021</v>
      </c>
      <c r="E4" s="29">
        <v>2022</v>
      </c>
      <c r="F4" s="29">
        <v>2023</v>
      </c>
      <c r="G4" s="29">
        <v>2024</v>
      </c>
      <c r="H4" s="29">
        <v>2025</v>
      </c>
      <c r="I4" s="29">
        <v>2026</v>
      </c>
      <c r="J4" s="29">
        <v>2027</v>
      </c>
      <c r="K4" s="29">
        <v>2028</v>
      </c>
      <c r="L4" s="29">
        <v>2029</v>
      </c>
      <c r="M4" s="29">
        <v>2030</v>
      </c>
    </row>
    <row r="5" spans="1:13" ht="15.6" x14ac:dyDescent="0.3">
      <c r="A5" s="32" t="s">
        <v>7</v>
      </c>
      <c r="B5" s="14">
        <v>51300</v>
      </c>
      <c r="C5" s="14">
        <v>62400</v>
      </c>
      <c r="D5" s="14">
        <v>48000</v>
      </c>
      <c r="E5" s="15">
        <f>50*800</f>
        <v>40000</v>
      </c>
      <c r="F5" s="13">
        <f>40*800</f>
        <v>32000</v>
      </c>
      <c r="G5" s="13">
        <f>32*800</f>
        <v>25600</v>
      </c>
      <c r="H5" s="13">
        <f t="shared" ref="H5:M5" si="0">32*800</f>
        <v>25600</v>
      </c>
      <c r="I5" s="13">
        <f t="shared" si="0"/>
        <v>25600</v>
      </c>
      <c r="J5" s="13">
        <f t="shared" si="0"/>
        <v>25600</v>
      </c>
      <c r="K5" s="13">
        <f t="shared" si="0"/>
        <v>25600</v>
      </c>
      <c r="L5" s="13">
        <f t="shared" si="0"/>
        <v>25600</v>
      </c>
      <c r="M5" s="13">
        <f t="shared" si="0"/>
        <v>25600</v>
      </c>
    </row>
    <row r="6" spans="1:13" ht="15.6" x14ac:dyDescent="0.3">
      <c r="A6" s="32" t="s">
        <v>6</v>
      </c>
      <c r="B6" s="14">
        <v>170925</v>
      </c>
      <c r="C6" s="14">
        <v>193050</v>
      </c>
      <c r="D6" s="14">
        <f>440*495</f>
        <v>217800</v>
      </c>
      <c r="E6" s="15">
        <f>(440+50-10)*495</f>
        <v>237600</v>
      </c>
      <c r="F6" s="15">
        <f>(480+40-10)*495</f>
        <v>252450</v>
      </c>
      <c r="G6" s="15">
        <f>(510+32-10)*495</f>
        <v>263340</v>
      </c>
      <c r="H6" s="15">
        <f>(532+32-10)*495</f>
        <v>274230</v>
      </c>
      <c r="I6" s="15">
        <f>(554+32-10)*495</f>
        <v>285120</v>
      </c>
      <c r="J6" s="15">
        <f>(576+32-10)*495</f>
        <v>296010</v>
      </c>
      <c r="K6" s="15">
        <f>(588+32-10)*495</f>
        <v>301950</v>
      </c>
      <c r="L6" s="15">
        <f>(610+32-10)*495</f>
        <v>312840</v>
      </c>
      <c r="M6" s="15">
        <f>(632+32-10)*495</f>
        <v>323730</v>
      </c>
    </row>
    <row r="7" spans="1:13" ht="15.6" x14ac:dyDescent="0.3">
      <c r="A7" s="32" t="s">
        <v>8</v>
      </c>
      <c r="B7" s="14">
        <v>452443</v>
      </c>
      <c r="C7" s="14">
        <v>509820</v>
      </c>
      <c r="D7" s="14">
        <v>510000</v>
      </c>
      <c r="E7" s="15">
        <f>(D7*1.03)+12*5000</f>
        <v>585300</v>
      </c>
      <c r="F7" s="13">
        <f>E7*1.03</f>
        <v>602859</v>
      </c>
      <c r="G7" s="13">
        <f t="shared" ref="G7:M7" si="1">F7*1.03</f>
        <v>620944.77</v>
      </c>
      <c r="H7" s="13">
        <f t="shared" si="1"/>
        <v>639573.11310000008</v>
      </c>
      <c r="I7" s="13">
        <f t="shared" si="1"/>
        <v>658760.30649300013</v>
      </c>
      <c r="J7" s="13">
        <f t="shared" si="1"/>
        <v>678523.11568779009</v>
      </c>
      <c r="K7" s="13">
        <f t="shared" si="1"/>
        <v>698878.8091584238</v>
      </c>
      <c r="L7" s="13">
        <f t="shared" si="1"/>
        <v>719845.17343317647</v>
      </c>
      <c r="M7" s="13">
        <f t="shared" si="1"/>
        <v>741440.52863617183</v>
      </c>
    </row>
    <row r="8" spans="1:13" ht="15.6" x14ac:dyDescent="0.3">
      <c r="A8" s="32" t="s">
        <v>26</v>
      </c>
      <c r="B8" s="14">
        <v>16000</v>
      </c>
      <c r="C8" s="14">
        <v>13000</v>
      </c>
      <c r="D8" s="14">
        <v>11000</v>
      </c>
      <c r="E8" s="15">
        <v>11000</v>
      </c>
      <c r="F8" s="15">
        <v>11000</v>
      </c>
      <c r="G8" s="15">
        <v>11000</v>
      </c>
      <c r="H8" s="15">
        <v>11000</v>
      </c>
      <c r="I8" s="15">
        <v>11000</v>
      </c>
      <c r="J8" s="15">
        <v>11000</v>
      </c>
      <c r="K8" s="15">
        <v>11000</v>
      </c>
      <c r="L8" s="15">
        <v>11000</v>
      </c>
      <c r="M8" s="15">
        <v>11000</v>
      </c>
    </row>
    <row r="9" spans="1:13" ht="15.6" x14ac:dyDescent="0.3">
      <c r="A9" s="32" t="s">
        <v>27</v>
      </c>
      <c r="B9" s="16">
        <v>179560</v>
      </c>
      <c r="C9" s="16">
        <v>188304</v>
      </c>
      <c r="D9" s="16">
        <v>190000</v>
      </c>
      <c r="E9" s="15">
        <f t="shared" ref="E9:M9" si="2">D9*1.03</f>
        <v>195700</v>
      </c>
      <c r="F9" s="15">
        <f t="shared" si="2"/>
        <v>201571</v>
      </c>
      <c r="G9" s="15">
        <f t="shared" si="2"/>
        <v>207618.13</v>
      </c>
      <c r="H9" s="15">
        <f t="shared" si="2"/>
        <v>213846.67390000002</v>
      </c>
      <c r="I9" s="15">
        <f t="shared" si="2"/>
        <v>220262.07411700004</v>
      </c>
      <c r="J9" s="15">
        <f t="shared" si="2"/>
        <v>226869.93634051006</v>
      </c>
      <c r="K9" s="15">
        <f t="shared" si="2"/>
        <v>233676.03443072535</v>
      </c>
      <c r="L9" s="15">
        <f t="shared" si="2"/>
        <v>240686.31546364713</v>
      </c>
      <c r="M9" s="15">
        <f t="shared" si="2"/>
        <v>247906.90492755655</v>
      </c>
    </row>
    <row r="10" spans="1:13" ht="15.6" x14ac:dyDescent="0.3">
      <c r="A10" s="32" t="s">
        <v>9</v>
      </c>
      <c r="B10" s="16">
        <v>123125</v>
      </c>
      <c r="C10" s="16">
        <v>220830</v>
      </c>
      <c r="D10" s="16">
        <v>230000</v>
      </c>
      <c r="E10" s="15">
        <f>D10*1.03</f>
        <v>236900</v>
      </c>
      <c r="F10" s="15">
        <f t="shared" ref="F10:M10" si="3">E10*1.03</f>
        <v>244007</v>
      </c>
      <c r="G10" s="15">
        <f t="shared" si="3"/>
        <v>251327.21000000002</v>
      </c>
      <c r="H10" s="15">
        <f t="shared" si="3"/>
        <v>258867.02630000003</v>
      </c>
      <c r="I10" s="15">
        <f t="shared" si="3"/>
        <v>266633.03708900005</v>
      </c>
      <c r="J10" s="15">
        <f t="shared" si="3"/>
        <v>274632.02820167004</v>
      </c>
      <c r="K10" s="15">
        <f t="shared" si="3"/>
        <v>282870.98904772016</v>
      </c>
      <c r="L10" s="15">
        <f t="shared" si="3"/>
        <v>291357.11871915177</v>
      </c>
      <c r="M10" s="15">
        <f t="shared" si="3"/>
        <v>300097.83228072635</v>
      </c>
    </row>
    <row r="11" spans="1:13" ht="15.6" x14ac:dyDescent="0.3">
      <c r="A11" s="32" t="s">
        <v>10</v>
      </c>
      <c r="B11" s="14">
        <v>25430</v>
      </c>
      <c r="C11" s="14">
        <f>15600+5011+9400+50720-2020</f>
        <v>78711</v>
      </c>
      <c r="D11" s="14">
        <v>50000</v>
      </c>
      <c r="E11" s="15">
        <v>35000</v>
      </c>
      <c r="F11" s="15">
        <f>E11*1.03</f>
        <v>36050</v>
      </c>
      <c r="G11" s="15">
        <f t="shared" ref="G11:M11" si="4">F11*1.03</f>
        <v>37131.5</v>
      </c>
      <c r="H11" s="15">
        <f t="shared" si="4"/>
        <v>38245.445</v>
      </c>
      <c r="I11" s="15">
        <f t="shared" si="4"/>
        <v>39392.808349999999</v>
      </c>
      <c r="J11" s="15">
        <f t="shared" si="4"/>
        <v>40574.5926005</v>
      </c>
      <c r="K11" s="15">
        <f t="shared" si="4"/>
        <v>41791.830378514998</v>
      </c>
      <c r="L11" s="15">
        <f t="shared" si="4"/>
        <v>43045.585289870447</v>
      </c>
      <c r="M11" s="15">
        <f t="shared" si="4"/>
        <v>44336.952848566565</v>
      </c>
    </row>
    <row r="12" spans="1:13" ht="16.2" thickBot="1" x14ac:dyDescent="0.35">
      <c r="A12" s="30" t="s">
        <v>11</v>
      </c>
      <c r="B12" s="12">
        <v>1018783</v>
      </c>
      <c r="C12" s="12">
        <f>SUM(C4:C11)</f>
        <v>1268135</v>
      </c>
      <c r="D12" s="12">
        <f t="shared" ref="D12:M12" si="5">SUM(D4:D11)</f>
        <v>1258821</v>
      </c>
      <c r="E12" s="41">
        <f t="shared" si="5"/>
        <v>1343522</v>
      </c>
      <c r="F12" s="41">
        <f t="shared" si="5"/>
        <v>1381960</v>
      </c>
      <c r="G12" s="41">
        <f t="shared" si="5"/>
        <v>1418985.6099999999</v>
      </c>
      <c r="H12" s="41">
        <f t="shared" si="5"/>
        <v>1463387.2583000001</v>
      </c>
      <c r="I12" s="41">
        <f t="shared" si="5"/>
        <v>1508794.2260490002</v>
      </c>
      <c r="J12" s="41">
        <f t="shared" si="5"/>
        <v>1555236.6728304701</v>
      </c>
      <c r="K12" s="41">
        <f t="shared" si="5"/>
        <v>1597795.6630153842</v>
      </c>
      <c r="L12" s="41">
        <f t="shared" si="5"/>
        <v>1646403.1929058456</v>
      </c>
      <c r="M12" s="41">
        <f t="shared" si="5"/>
        <v>1696142.2186930215</v>
      </c>
    </row>
    <row r="13" spans="1:13" ht="9.6" customHeight="1" thickTop="1" x14ac:dyDescent="0.4">
      <c r="A13" s="7"/>
      <c r="B13" s="8"/>
      <c r="C13" s="8"/>
      <c r="D13" s="8"/>
      <c r="E13" s="7"/>
      <c r="F13" s="7"/>
      <c r="G13" s="7"/>
      <c r="H13" s="7"/>
      <c r="I13" s="7"/>
      <c r="J13" s="7"/>
      <c r="K13" s="7"/>
      <c r="L13" s="7"/>
      <c r="M13" s="7"/>
    </row>
    <row r="14" spans="1:13" s="1" customFormat="1" ht="18" x14ac:dyDescent="0.35">
      <c r="A14" s="26" t="s">
        <v>1</v>
      </c>
      <c r="B14" s="27">
        <v>2019</v>
      </c>
      <c r="C14" s="27">
        <v>2020</v>
      </c>
      <c r="D14" s="27">
        <v>2021</v>
      </c>
      <c r="E14" s="29">
        <v>2022</v>
      </c>
      <c r="F14" s="29">
        <v>2023</v>
      </c>
      <c r="G14" s="29">
        <v>2024</v>
      </c>
      <c r="H14" s="29">
        <v>2025</v>
      </c>
      <c r="I14" s="29">
        <v>2026</v>
      </c>
      <c r="J14" s="29">
        <v>2027</v>
      </c>
      <c r="K14" s="29">
        <v>2028</v>
      </c>
      <c r="L14" s="29">
        <v>2029</v>
      </c>
      <c r="M14" s="29">
        <v>2030</v>
      </c>
    </row>
    <row r="15" spans="1:13" ht="15.6" x14ac:dyDescent="0.3">
      <c r="A15" s="32" t="s">
        <v>12</v>
      </c>
      <c r="B15" s="17">
        <v>-7579</v>
      </c>
      <c r="C15" s="17">
        <v>-7700</v>
      </c>
      <c r="D15" s="17">
        <v>-7720</v>
      </c>
      <c r="E15" s="18">
        <f>D15-3750</f>
        <v>-11470</v>
      </c>
      <c r="F15" s="18">
        <f>E15*1.02</f>
        <v>-11699.4</v>
      </c>
      <c r="G15" s="18">
        <f>F15-3825</f>
        <v>-15524.4</v>
      </c>
      <c r="H15" s="18">
        <f>G15*1.02</f>
        <v>-15834.887999999999</v>
      </c>
      <c r="I15" s="18">
        <f>H15-3875</f>
        <v>-19709.887999999999</v>
      </c>
      <c r="J15" s="18">
        <f>I15*1.02</f>
        <v>-20104.085759999998</v>
      </c>
      <c r="K15" s="18">
        <v>-162750</v>
      </c>
      <c r="L15" s="18">
        <f>K15*1.02</f>
        <v>-166005</v>
      </c>
      <c r="M15" s="18">
        <f>L15*1.02</f>
        <v>-169325.1</v>
      </c>
    </row>
    <row r="16" spans="1:13" ht="15.6" x14ac:dyDescent="0.3">
      <c r="A16" s="32" t="s">
        <v>13</v>
      </c>
      <c r="B16" s="17">
        <v>-31786</v>
      </c>
      <c r="C16" s="17">
        <v>-32624</v>
      </c>
      <c r="D16" s="17">
        <f>-C6*0.19</f>
        <v>-36679.5</v>
      </c>
      <c r="E16" s="18">
        <f t="shared" ref="E16:M16" si="6">-D6*0.19</f>
        <v>-41382</v>
      </c>
      <c r="F16" s="18">
        <f t="shared" si="6"/>
        <v>-45144</v>
      </c>
      <c r="G16" s="18">
        <f t="shared" si="6"/>
        <v>-47965.5</v>
      </c>
      <c r="H16" s="18">
        <f t="shared" si="6"/>
        <v>-50034.6</v>
      </c>
      <c r="I16" s="18">
        <f t="shared" si="6"/>
        <v>-52103.7</v>
      </c>
      <c r="J16" s="18">
        <f t="shared" si="6"/>
        <v>-54172.800000000003</v>
      </c>
      <c r="K16" s="18">
        <f t="shared" si="6"/>
        <v>-56241.9</v>
      </c>
      <c r="L16" s="18">
        <f t="shared" si="6"/>
        <v>-57370.5</v>
      </c>
      <c r="M16" s="18">
        <f t="shared" si="6"/>
        <v>-59439.6</v>
      </c>
    </row>
    <row r="17" spans="1:13" ht="15.6" x14ac:dyDescent="0.3">
      <c r="A17" s="32" t="s">
        <v>14</v>
      </c>
      <c r="B17" s="17">
        <v>-19132</v>
      </c>
      <c r="C17" s="17">
        <v>-19132</v>
      </c>
      <c r="D17" s="17">
        <v>-19132</v>
      </c>
      <c r="E17" s="18">
        <v>-19132</v>
      </c>
      <c r="F17" s="18">
        <v>-19132</v>
      </c>
      <c r="G17" s="18">
        <v>-19132</v>
      </c>
      <c r="H17" s="18">
        <v>-19132</v>
      </c>
      <c r="I17" s="18">
        <v>-19132</v>
      </c>
      <c r="J17" s="18">
        <v>-19132</v>
      </c>
      <c r="K17" s="18">
        <v>-19132</v>
      </c>
      <c r="L17" s="18">
        <v>-19132</v>
      </c>
      <c r="M17" s="18">
        <v>-19132</v>
      </c>
    </row>
    <row r="18" spans="1:13" ht="15.6" x14ac:dyDescent="0.3">
      <c r="A18" s="32" t="s">
        <v>9</v>
      </c>
      <c r="B18" s="17">
        <v>-129195</v>
      </c>
      <c r="C18" s="17">
        <f>-37000-51803.3-10609-63900</f>
        <v>-163312.29999999999</v>
      </c>
      <c r="D18" s="17">
        <v>-155000</v>
      </c>
      <c r="E18" s="18">
        <f>D18*1.03</f>
        <v>-159650</v>
      </c>
      <c r="F18" s="18">
        <f t="shared" ref="F18:M18" si="7">E18*1.05</f>
        <v>-167632.5</v>
      </c>
      <c r="G18" s="18">
        <f t="shared" si="7"/>
        <v>-176014.125</v>
      </c>
      <c r="H18" s="18">
        <f t="shared" si="7"/>
        <v>-184814.83125000002</v>
      </c>
      <c r="I18" s="18">
        <f t="shared" si="7"/>
        <v>-194055.57281250003</v>
      </c>
      <c r="J18" s="18">
        <f t="shared" si="7"/>
        <v>-203758.35145312504</v>
      </c>
      <c r="K18" s="18">
        <f t="shared" si="7"/>
        <v>-213946.26902578131</v>
      </c>
      <c r="L18" s="18">
        <f t="shared" si="7"/>
        <v>-224643.58247707039</v>
      </c>
      <c r="M18" s="18">
        <f t="shared" si="7"/>
        <v>-235875.76160092393</v>
      </c>
    </row>
    <row r="19" spans="1:13" ht="15.6" x14ac:dyDescent="0.3">
      <c r="A19" s="32" t="s">
        <v>38</v>
      </c>
      <c r="B19" s="17">
        <v>-64179</v>
      </c>
      <c r="C19" s="17">
        <v>-139762</v>
      </c>
      <c r="D19" s="17">
        <v>-500000</v>
      </c>
      <c r="E19" s="18">
        <v>-95000</v>
      </c>
      <c r="F19" s="18">
        <v>-100000</v>
      </c>
      <c r="G19" s="18">
        <v>-105000</v>
      </c>
      <c r="H19" s="18">
        <v>-110000</v>
      </c>
      <c r="I19" s="18">
        <v>-115000</v>
      </c>
      <c r="J19" s="18">
        <v>-120000</v>
      </c>
      <c r="K19" s="18">
        <v>-125000</v>
      </c>
      <c r="L19" s="18">
        <v>-130000</v>
      </c>
      <c r="M19" s="18">
        <v>-135000</v>
      </c>
    </row>
    <row r="20" spans="1:13" ht="15.6" x14ac:dyDescent="0.3">
      <c r="A20" s="32" t="s">
        <v>30</v>
      </c>
      <c r="B20" s="17">
        <v>-49304</v>
      </c>
      <c r="C20" s="17">
        <v>-59438</v>
      </c>
      <c r="D20" s="17">
        <v>-50000</v>
      </c>
      <c r="E20" s="18">
        <v>-114444</v>
      </c>
      <c r="F20" s="18">
        <v>-116732.88</v>
      </c>
      <c r="G20" s="18">
        <v>-119067.53760000001</v>
      </c>
      <c r="H20" s="18">
        <v>-121448.88835200001</v>
      </c>
      <c r="I20" s="18">
        <v>-123877.86611904002</v>
      </c>
      <c r="J20" s="18">
        <v>-126355.42344142082</v>
      </c>
      <c r="K20" s="18">
        <v>-128882.53191024924</v>
      </c>
      <c r="L20" s="18">
        <v>-131460.18254845424</v>
      </c>
      <c r="M20" s="18">
        <v>-134089.38619942332</v>
      </c>
    </row>
    <row r="21" spans="1:13" ht="15.6" x14ac:dyDescent="0.3">
      <c r="A21" s="32" t="s">
        <v>31</v>
      </c>
      <c r="B21" s="17">
        <f>-133161+31786+19132</f>
        <v>-82243</v>
      </c>
      <c r="C21" s="17">
        <v>-63851</v>
      </c>
      <c r="D21" s="17">
        <f>-40000*1.03</f>
        <v>-41200</v>
      </c>
      <c r="E21" s="18">
        <f>D21*1.03</f>
        <v>-42436</v>
      </c>
      <c r="F21" s="18">
        <f t="shared" ref="F21:M21" si="8">E21*1.03</f>
        <v>-43709.08</v>
      </c>
      <c r="G21" s="18">
        <f t="shared" si="8"/>
        <v>-45020.352400000003</v>
      </c>
      <c r="H21" s="18">
        <f t="shared" si="8"/>
        <v>-46370.962972000001</v>
      </c>
      <c r="I21" s="18">
        <f t="shared" si="8"/>
        <v>-47762.091861159999</v>
      </c>
      <c r="J21" s="18">
        <f t="shared" si="8"/>
        <v>-49194.954616994801</v>
      </c>
      <c r="K21" s="18">
        <f t="shared" si="8"/>
        <v>-50670.803255504645</v>
      </c>
      <c r="L21" s="18">
        <f t="shared" si="8"/>
        <v>-52190.927353169784</v>
      </c>
      <c r="M21" s="18">
        <f t="shared" si="8"/>
        <v>-53756.655173764877</v>
      </c>
    </row>
    <row r="22" spans="1:13" ht="15.6" x14ac:dyDescent="0.3">
      <c r="A22" s="32" t="s">
        <v>15</v>
      </c>
      <c r="B22" s="17">
        <v>-564682</v>
      </c>
      <c r="C22" s="17">
        <v>-568403</v>
      </c>
      <c r="D22" s="17">
        <f>-563530-15054</f>
        <v>-578584</v>
      </c>
      <c r="E22" s="18">
        <f>D22-90000</f>
        <v>-668584</v>
      </c>
      <c r="F22" s="18">
        <v>-625000</v>
      </c>
      <c r="G22" s="18">
        <v>-590000</v>
      </c>
      <c r="H22" s="18">
        <v>-550000</v>
      </c>
      <c r="I22" s="18">
        <v>-525000</v>
      </c>
      <c r="J22" s="18">
        <v>-525000</v>
      </c>
      <c r="K22" s="18">
        <v>-525000</v>
      </c>
      <c r="L22" s="18">
        <v>-525000</v>
      </c>
      <c r="M22" s="18">
        <v>-525000</v>
      </c>
    </row>
    <row r="23" spans="1:13" ht="15.6" x14ac:dyDescent="0.3">
      <c r="A23" s="32" t="s">
        <v>16</v>
      </c>
      <c r="B23" s="17" t="s">
        <v>17</v>
      </c>
      <c r="C23" s="17" t="s">
        <v>17</v>
      </c>
      <c r="D23" s="17">
        <v>-10080</v>
      </c>
      <c r="E23" s="18">
        <v>-8640</v>
      </c>
      <c r="F23" s="18">
        <v>-7200</v>
      </c>
      <c r="G23" s="18">
        <v>-5760</v>
      </c>
      <c r="H23" s="18">
        <v>-4320</v>
      </c>
      <c r="I23" s="18">
        <v>-2880</v>
      </c>
      <c r="J23" s="18">
        <v>-1440</v>
      </c>
      <c r="K23" s="18">
        <v>-890</v>
      </c>
      <c r="L23" s="18"/>
      <c r="M23" s="18"/>
    </row>
    <row r="24" spans="1:13" ht="15.6" x14ac:dyDescent="0.3">
      <c r="A24" s="32" t="s">
        <v>18</v>
      </c>
      <c r="B24" s="17">
        <v>-155029</v>
      </c>
      <c r="C24" s="17">
        <v>-154475</v>
      </c>
      <c r="D24" s="17">
        <v>-143000</v>
      </c>
      <c r="E24" s="18">
        <v>-128700</v>
      </c>
      <c r="F24" s="18">
        <v>-114000</v>
      </c>
      <c r="G24" s="18">
        <v>-100000</v>
      </c>
      <c r="H24" s="18">
        <v>-80000</v>
      </c>
      <c r="I24" s="18">
        <v>-56000</v>
      </c>
      <c r="J24" s="18">
        <v>-30000</v>
      </c>
      <c r="K24" s="18">
        <v>-7500</v>
      </c>
      <c r="L24" s="18"/>
      <c r="M24" s="18"/>
    </row>
    <row r="25" spans="1:13" ht="16.2" thickBot="1" x14ac:dyDescent="0.35">
      <c r="A25" s="33" t="s">
        <v>19</v>
      </c>
      <c r="B25" s="37">
        <f>SUM(B15:B24)</f>
        <v>-1103129</v>
      </c>
      <c r="C25" s="37">
        <f>SUM(C15:C24)</f>
        <v>-1208697.3</v>
      </c>
      <c r="D25" s="37">
        <f t="shared" ref="D25:M25" si="9">SUM(D15:D24)</f>
        <v>-1541395.5</v>
      </c>
      <c r="E25" s="38">
        <f t="shared" si="9"/>
        <v>-1289438</v>
      </c>
      <c r="F25" s="38">
        <f t="shared" si="9"/>
        <v>-1250249.8600000001</v>
      </c>
      <c r="G25" s="38">
        <f t="shared" si="9"/>
        <v>-1223483.915</v>
      </c>
      <c r="H25" s="38">
        <f t="shared" si="9"/>
        <v>-1181956.1705740001</v>
      </c>
      <c r="I25" s="38">
        <f t="shared" si="9"/>
        <v>-1155521.1187927001</v>
      </c>
      <c r="J25" s="38">
        <f t="shared" si="9"/>
        <v>-1149157.6152715408</v>
      </c>
      <c r="K25" s="38">
        <f t="shared" si="9"/>
        <v>-1290013.5041915353</v>
      </c>
      <c r="L25" s="38">
        <f t="shared" si="9"/>
        <v>-1305802.1923786944</v>
      </c>
      <c r="M25" s="38">
        <f t="shared" si="9"/>
        <v>-1331618.5029741121</v>
      </c>
    </row>
    <row r="26" spans="1:13" ht="9.6" customHeight="1" x14ac:dyDescent="0.4">
      <c r="A26" s="2"/>
      <c r="B26" s="10"/>
      <c r="C26" s="10"/>
      <c r="D26" s="10"/>
      <c r="E26" s="9"/>
      <c r="F26" s="9"/>
      <c r="G26" s="9"/>
      <c r="H26" s="9"/>
      <c r="I26" s="9"/>
      <c r="J26" s="9"/>
      <c r="K26" s="9"/>
      <c r="L26" s="9"/>
      <c r="M26" s="9"/>
    </row>
    <row r="27" spans="1:13" s="1" customFormat="1" ht="18" x14ac:dyDescent="0.35">
      <c r="A27" s="26" t="s">
        <v>20</v>
      </c>
      <c r="B27" s="27">
        <v>2019</v>
      </c>
      <c r="C27" s="27">
        <v>2020</v>
      </c>
      <c r="D27" s="27">
        <v>2021</v>
      </c>
      <c r="E27" s="29">
        <v>2022</v>
      </c>
      <c r="F27" s="29">
        <v>2023</v>
      </c>
      <c r="G27" s="29">
        <v>2024</v>
      </c>
      <c r="H27" s="29">
        <v>2025</v>
      </c>
      <c r="I27" s="29">
        <v>2026</v>
      </c>
      <c r="J27" s="29">
        <v>2027</v>
      </c>
      <c r="K27" s="29">
        <v>2028</v>
      </c>
      <c r="L27" s="29">
        <v>2029</v>
      </c>
      <c r="M27" s="29">
        <v>2030</v>
      </c>
    </row>
    <row r="28" spans="1:13" ht="19.2" customHeight="1" thickBot="1" x14ac:dyDescent="0.35">
      <c r="A28" s="32" t="s">
        <v>21</v>
      </c>
      <c r="B28" s="39">
        <f>B12+B25</f>
        <v>-84346</v>
      </c>
      <c r="C28" s="43">
        <f>C12+C25</f>
        <v>59437.699999999953</v>
      </c>
      <c r="D28" s="40">
        <f t="shared" ref="D28:M28" si="10">D12+D25</f>
        <v>-282574.5</v>
      </c>
      <c r="E28" s="44">
        <f t="shared" si="10"/>
        <v>54084</v>
      </c>
      <c r="F28" s="44">
        <f t="shared" si="10"/>
        <v>131710.1399999999</v>
      </c>
      <c r="G28" s="44">
        <f t="shared" si="10"/>
        <v>195501.69499999983</v>
      </c>
      <c r="H28" s="44">
        <f t="shared" si="10"/>
        <v>281431.087726</v>
      </c>
      <c r="I28" s="44">
        <f t="shared" si="10"/>
        <v>353273.10725630005</v>
      </c>
      <c r="J28" s="44">
        <f t="shared" si="10"/>
        <v>406079.05755892931</v>
      </c>
      <c r="K28" s="44">
        <f t="shared" si="10"/>
        <v>307782.15882384893</v>
      </c>
      <c r="L28" s="44">
        <f t="shared" si="10"/>
        <v>340601.00052715116</v>
      </c>
      <c r="M28" s="44">
        <f t="shared" si="10"/>
        <v>364523.7157189094</v>
      </c>
    </row>
    <row r="29" spans="1:13" ht="15.6" x14ac:dyDescent="0.3">
      <c r="A29" s="32" t="s">
        <v>2</v>
      </c>
      <c r="B29" s="16">
        <v>4491123.5</v>
      </c>
      <c r="C29" s="16">
        <v>4550562</v>
      </c>
      <c r="D29" s="16">
        <f>C29+D28</f>
        <v>4267987.5</v>
      </c>
      <c r="E29" s="15">
        <f t="shared" ref="E29:M29" si="11">D29+E28</f>
        <v>4322071.5</v>
      </c>
      <c r="F29" s="15">
        <f t="shared" si="11"/>
        <v>4453781.6399999997</v>
      </c>
      <c r="G29" s="15">
        <f t="shared" si="11"/>
        <v>4649283.334999999</v>
      </c>
      <c r="H29" s="15">
        <f t="shared" si="11"/>
        <v>4930714.4227259988</v>
      </c>
      <c r="I29" s="15">
        <f t="shared" si="11"/>
        <v>5283987.5299822986</v>
      </c>
      <c r="J29" s="15">
        <f t="shared" si="11"/>
        <v>5690066.5875412282</v>
      </c>
      <c r="K29" s="15">
        <f t="shared" si="11"/>
        <v>5997848.7463650769</v>
      </c>
      <c r="L29" s="15">
        <f t="shared" si="11"/>
        <v>6338449.7468922278</v>
      </c>
      <c r="M29" s="15">
        <f t="shared" si="11"/>
        <v>6702973.462611137</v>
      </c>
    </row>
    <row r="30" spans="1:13" ht="15.6" x14ac:dyDescent="0.3">
      <c r="A30" s="32"/>
      <c r="B30" s="20"/>
      <c r="C30" s="20"/>
      <c r="D30" s="20"/>
      <c r="E30" s="19"/>
      <c r="F30" s="19"/>
      <c r="G30" s="19"/>
      <c r="H30" s="19"/>
      <c r="I30" s="19"/>
      <c r="J30" s="19"/>
      <c r="K30" s="19"/>
      <c r="L30" s="19"/>
      <c r="M30" s="19"/>
    </row>
    <row r="31" spans="1:13" ht="15.6" x14ac:dyDescent="0.3">
      <c r="A31" s="34" t="s">
        <v>22</v>
      </c>
      <c r="B31" s="17">
        <v>2006369</v>
      </c>
      <c r="C31" s="17">
        <v>1044380.5</v>
      </c>
      <c r="D31" s="17">
        <f>C42</f>
        <v>1259914.2</v>
      </c>
      <c r="E31" s="18">
        <f t="shared" ref="E31:M31" si="12">D42</f>
        <v>524470.69999999995</v>
      </c>
      <c r="F31" s="18">
        <f t="shared" si="12"/>
        <v>247138.69999999995</v>
      </c>
      <c r="G31" s="18">
        <f t="shared" si="12"/>
        <v>453848.83999999985</v>
      </c>
      <c r="H31" s="18">
        <f t="shared" si="12"/>
        <v>689350.53499999968</v>
      </c>
      <c r="I31" s="18">
        <f t="shared" si="12"/>
        <v>970781.62272599968</v>
      </c>
      <c r="J31" s="18">
        <f t="shared" si="12"/>
        <v>1299054.7299822997</v>
      </c>
      <c r="K31" s="18">
        <f t="shared" si="12"/>
        <v>850133.78754122905</v>
      </c>
      <c r="L31" s="18">
        <f t="shared" si="12"/>
        <v>715415.94636507798</v>
      </c>
      <c r="M31" s="18">
        <f t="shared" si="12"/>
        <v>751016.94689222914</v>
      </c>
    </row>
    <row r="32" spans="1:13" ht="16.2" thickBot="1" x14ac:dyDescent="0.35">
      <c r="A32" s="35" t="s">
        <v>23</v>
      </c>
      <c r="B32" s="17">
        <v>480335.5</v>
      </c>
      <c r="C32" s="17">
        <f>C28-C22</f>
        <v>627840.69999999995</v>
      </c>
      <c r="D32" s="17">
        <f t="shared" ref="D32:M32" si="13">D28-D22</f>
        <v>296009.5</v>
      </c>
      <c r="E32" s="18">
        <f t="shared" si="13"/>
        <v>722668</v>
      </c>
      <c r="F32" s="18">
        <f t="shared" si="13"/>
        <v>756710.1399999999</v>
      </c>
      <c r="G32" s="18">
        <f t="shared" si="13"/>
        <v>785501.69499999983</v>
      </c>
      <c r="H32" s="18">
        <f t="shared" si="13"/>
        <v>831431.087726</v>
      </c>
      <c r="I32" s="18">
        <f t="shared" si="13"/>
        <v>878273.10725630005</v>
      </c>
      <c r="J32" s="18">
        <f t="shared" si="13"/>
        <v>931079.05755892931</v>
      </c>
      <c r="K32" s="18">
        <f t="shared" si="13"/>
        <v>832782.15882384893</v>
      </c>
      <c r="L32" s="18">
        <f t="shared" si="13"/>
        <v>865601.00052715116</v>
      </c>
      <c r="M32" s="18">
        <f t="shared" si="13"/>
        <v>889523.7157189094</v>
      </c>
    </row>
    <row r="33" spans="1:16" ht="16.2" thickBot="1" x14ac:dyDescent="0.35">
      <c r="A33" s="35" t="s">
        <v>35</v>
      </c>
      <c r="B33" s="17">
        <v>104000</v>
      </c>
      <c r="C33" s="17">
        <v>120000</v>
      </c>
      <c r="D33" s="17"/>
      <c r="E33" s="18"/>
      <c r="F33" s="18"/>
      <c r="G33" s="18"/>
      <c r="H33" s="18"/>
      <c r="I33" s="18"/>
      <c r="J33" s="18">
        <v>-830000</v>
      </c>
      <c r="K33" s="18">
        <v>-830000</v>
      </c>
      <c r="L33" s="18">
        <v>-830000</v>
      </c>
      <c r="M33" s="18">
        <v>-830000</v>
      </c>
      <c r="N33" s="18"/>
      <c r="O33" s="45"/>
      <c r="P33" s="42"/>
    </row>
    <row r="34" spans="1:16" ht="15.6" x14ac:dyDescent="0.3">
      <c r="A34" s="32" t="s">
        <v>36</v>
      </c>
      <c r="B34" s="17">
        <v>-550000</v>
      </c>
      <c r="C34" s="17">
        <v>-550000</v>
      </c>
      <c r="D34" s="17">
        <v>-550000</v>
      </c>
      <c r="E34" s="18">
        <v>-550000</v>
      </c>
      <c r="F34" s="18">
        <v>-550000</v>
      </c>
      <c r="G34" s="18">
        <v>-550000</v>
      </c>
      <c r="H34" s="18">
        <v>-550000</v>
      </c>
      <c r="I34" s="18">
        <v>-550000</v>
      </c>
      <c r="J34" s="18">
        <v>-550000</v>
      </c>
      <c r="K34" s="18">
        <v>-137500</v>
      </c>
      <c r="L34" s="18"/>
      <c r="M34" s="18"/>
    </row>
    <row r="35" spans="1:16" ht="15.6" x14ac:dyDescent="0.3">
      <c r="A35" s="32" t="s">
        <v>28</v>
      </c>
      <c r="B35" s="17">
        <v>-76479</v>
      </c>
      <c r="C35" s="17">
        <v>47941</v>
      </c>
      <c r="D35" s="17"/>
      <c r="E35" s="25"/>
      <c r="F35" s="25"/>
      <c r="G35" s="25"/>
      <c r="H35" s="25"/>
      <c r="I35" s="25"/>
      <c r="J35" s="25"/>
      <c r="K35" s="25"/>
      <c r="L35" s="25"/>
      <c r="M35" s="25"/>
    </row>
    <row r="36" spans="1:16" ht="15.6" x14ac:dyDescent="0.3">
      <c r="A36" s="34" t="s">
        <v>32</v>
      </c>
      <c r="B36" s="17">
        <v>-919845</v>
      </c>
      <c r="C36" s="17">
        <v>-30248</v>
      </c>
      <c r="D36" s="17"/>
      <c r="E36" s="18"/>
      <c r="F36" s="18"/>
      <c r="G36" s="18"/>
      <c r="H36" s="18"/>
      <c r="I36" s="18"/>
      <c r="J36" s="18"/>
      <c r="K36" s="18"/>
      <c r="L36" s="18"/>
      <c r="M36" s="18"/>
    </row>
    <row r="37" spans="1:16" ht="15.6" x14ac:dyDescent="0.3">
      <c r="A37" s="32" t="s">
        <v>40</v>
      </c>
      <c r="B37" s="17"/>
      <c r="C37" s="17"/>
      <c r="D37" s="17">
        <v>-406453</v>
      </c>
      <c r="E37" s="18"/>
      <c r="F37" s="18"/>
      <c r="G37" s="18"/>
      <c r="H37" s="18"/>
      <c r="I37" s="18"/>
      <c r="J37" s="18"/>
      <c r="K37" s="18"/>
      <c r="L37" s="18"/>
      <c r="M37" s="18"/>
    </row>
    <row r="38" spans="1:16" ht="15.6" x14ac:dyDescent="0.3">
      <c r="A38" s="32" t="s">
        <v>37</v>
      </c>
      <c r="B38" s="17"/>
      <c r="C38" s="17"/>
      <c r="D38" s="17">
        <v>-75000</v>
      </c>
      <c r="E38" s="18"/>
      <c r="F38" s="18"/>
      <c r="G38" s="18"/>
      <c r="H38" s="18"/>
      <c r="I38" s="18"/>
      <c r="J38" s="18"/>
      <c r="K38" s="18"/>
      <c r="L38" s="18"/>
      <c r="M38" s="18"/>
    </row>
    <row r="39" spans="1:16" ht="15.6" x14ac:dyDescent="0.3">
      <c r="A39" s="32" t="s">
        <v>33</v>
      </c>
      <c r="B39" s="17"/>
      <c r="C39" s="17"/>
      <c r="D39" s="17"/>
      <c r="E39" s="18">
        <v>-200000</v>
      </c>
      <c r="F39" s="18"/>
      <c r="G39" s="18"/>
      <c r="H39" s="18"/>
      <c r="I39" s="18"/>
      <c r="J39" s="18"/>
      <c r="K39" s="18"/>
      <c r="L39" s="18"/>
      <c r="M39" s="18"/>
    </row>
    <row r="40" spans="1:16" ht="15.6" x14ac:dyDescent="0.3">
      <c r="A40" s="32" t="s">
        <v>34</v>
      </c>
      <c r="B40" s="17"/>
      <c r="C40" s="17"/>
      <c r="D40" s="17"/>
      <c r="E40" s="18">
        <v>-250000</v>
      </c>
      <c r="F40" s="18"/>
      <c r="G40" s="18"/>
      <c r="H40" s="18"/>
      <c r="I40" s="18"/>
      <c r="J40" s="18"/>
      <c r="K40" s="18"/>
      <c r="L40" s="18"/>
      <c r="M40" s="18"/>
    </row>
    <row r="41" spans="1:16" ht="15.6" x14ac:dyDescent="0.3">
      <c r="A41" s="36" t="s">
        <v>24</v>
      </c>
      <c r="B41" s="21">
        <f t="shared" ref="B41:M41" si="14">SUM(B32:B40)</f>
        <v>-961988.5</v>
      </c>
      <c r="C41" s="21">
        <f t="shared" si="14"/>
        <v>215533.69999999995</v>
      </c>
      <c r="D41" s="21">
        <f t="shared" si="14"/>
        <v>-735443.5</v>
      </c>
      <c r="E41" s="22">
        <f t="shared" si="14"/>
        <v>-277332</v>
      </c>
      <c r="F41" s="22">
        <f t="shared" si="14"/>
        <v>206710.1399999999</v>
      </c>
      <c r="G41" s="22">
        <f t="shared" si="14"/>
        <v>235501.69499999983</v>
      </c>
      <c r="H41" s="22">
        <f t="shared" si="14"/>
        <v>281431.087726</v>
      </c>
      <c r="I41" s="22">
        <f t="shared" si="14"/>
        <v>328273.10725630005</v>
      </c>
      <c r="J41" s="22">
        <f t="shared" si="14"/>
        <v>-448920.94244107069</v>
      </c>
      <c r="K41" s="22">
        <f t="shared" si="14"/>
        <v>-134717.84117615107</v>
      </c>
      <c r="L41" s="22">
        <f t="shared" si="14"/>
        <v>35601.000527151162</v>
      </c>
      <c r="M41" s="22">
        <f t="shared" si="14"/>
        <v>59523.7157189094</v>
      </c>
    </row>
    <row r="42" spans="1:16" ht="16.2" thickBot="1" x14ac:dyDescent="0.35">
      <c r="A42" s="30" t="s">
        <v>25</v>
      </c>
      <c r="B42" s="23">
        <f t="shared" ref="B42:M42" si="15">B31+B41</f>
        <v>1044380.5</v>
      </c>
      <c r="C42" s="23">
        <f t="shared" si="15"/>
        <v>1259914.2</v>
      </c>
      <c r="D42" s="23">
        <f t="shared" si="15"/>
        <v>524470.69999999995</v>
      </c>
      <c r="E42" s="24">
        <f t="shared" si="15"/>
        <v>247138.69999999995</v>
      </c>
      <c r="F42" s="24">
        <f t="shared" si="15"/>
        <v>453848.83999999985</v>
      </c>
      <c r="G42" s="24">
        <f t="shared" si="15"/>
        <v>689350.53499999968</v>
      </c>
      <c r="H42" s="24">
        <f t="shared" si="15"/>
        <v>970781.62272599968</v>
      </c>
      <c r="I42" s="24">
        <f t="shared" si="15"/>
        <v>1299054.7299822997</v>
      </c>
      <c r="J42" s="24">
        <f t="shared" si="15"/>
        <v>850133.78754122905</v>
      </c>
      <c r="K42" s="24">
        <f t="shared" si="15"/>
        <v>715415.94636507798</v>
      </c>
      <c r="L42" s="24">
        <f t="shared" si="15"/>
        <v>751016.94689222914</v>
      </c>
      <c r="M42" s="24">
        <f t="shared" si="15"/>
        <v>810540.66261113854</v>
      </c>
    </row>
    <row r="43" spans="1:16" ht="21.6" thickTop="1" x14ac:dyDescent="0.4">
      <c r="A43" s="2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6" ht="15.6" x14ac:dyDescent="0.3">
      <c r="A44" s="46" t="s">
        <v>39</v>
      </c>
    </row>
    <row r="46" spans="1:16" x14ac:dyDescent="0.3">
      <c r="G46" s="42"/>
    </row>
  </sheetData>
  <pageMargins left="0.31496062992125984" right="0.31496062992125984" top="0.35433070866141736" bottom="0.35433070866141736" header="0.31496062992125984" footer="0.31496062992125984"/>
  <pageSetup paperSize="9" scale="6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Finansplan 2019-2030</vt:lpstr>
      <vt:lpstr>'Finansplan 2019-2030'!Utskriftsområde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</dc:creator>
  <cp:lastModifiedBy>Jonas</cp:lastModifiedBy>
  <cp:lastPrinted>2021-02-12T10:43:59Z</cp:lastPrinted>
  <dcterms:created xsi:type="dcterms:W3CDTF">2020-04-13T11:34:31Z</dcterms:created>
  <dcterms:modified xsi:type="dcterms:W3CDTF">2021-02-23T10:08:16Z</dcterms:modified>
</cp:coreProperties>
</file>