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s\Dropbox\Styrelsedokument_ protokoll_ansvar_ mm\Årsmöte 2022\"/>
    </mc:Choice>
  </mc:AlternateContent>
  <xr:revisionPtr revIDLastSave="0" documentId="13_ncr:1_{D14EB12F-E715-4C1A-9104-35B4CBAD5933}" xr6:coauthVersionLast="47" xr6:coauthVersionMax="47" xr10:uidLastSave="{00000000-0000-0000-0000-000000000000}"/>
  <bookViews>
    <workbookView xWindow="-120" yWindow="-120" windowWidth="29040" windowHeight="15840" xr2:uid="{3CB6E4FF-E80C-4611-A00A-A5A9C8BD7D26}"/>
  </bookViews>
  <sheets>
    <sheet name="Finansplan 2020-2030" sheetId="2" r:id="rId1"/>
    <sheet name="Avgiftshöjningar 2023" sheetId="3" r:id="rId2"/>
  </sheets>
  <definedNames>
    <definedName name="_xlnm.Print_Area" localSheetId="0">'Finansplan 2020-2030'!$A$1:$M$51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2" l="1"/>
  <c r="H7" i="2" s="1"/>
  <c r="I7" i="2" s="1"/>
  <c r="J7" i="2" s="1"/>
  <c r="K7" i="2" s="1"/>
  <c r="L7" i="2" s="1"/>
  <c r="M7" i="2" s="1"/>
  <c r="F18" i="2"/>
  <c r="G18" i="2" s="1"/>
  <c r="H18" i="2" s="1"/>
  <c r="I18" i="2" s="1"/>
  <c r="J18" i="2" s="1"/>
  <c r="K18" i="2" s="1"/>
  <c r="L18" i="2" s="1"/>
  <c r="M18" i="2" s="1"/>
  <c r="F19" i="2"/>
  <c r="G19" i="2" s="1"/>
  <c r="H19" i="2" s="1"/>
  <c r="I19" i="2" s="1"/>
  <c r="J19" i="2" s="1"/>
  <c r="K19" i="2" s="1"/>
  <c r="L19" i="2" s="1"/>
  <c r="M19" i="2" s="1"/>
  <c r="F10" i="2"/>
  <c r="G10" i="2" s="1"/>
  <c r="H10" i="2" s="1"/>
  <c r="I10" i="2" s="1"/>
  <c r="J10" i="2" s="1"/>
  <c r="K10" i="2" s="1"/>
  <c r="L10" i="2" s="1"/>
  <c r="M10" i="2" s="1"/>
  <c r="F9" i="2"/>
  <c r="G9" i="2" s="1"/>
  <c r="H9" i="2" s="1"/>
  <c r="I9" i="2" s="1"/>
  <c r="J9" i="2" s="1"/>
  <c r="K9" i="2" s="1"/>
  <c r="L9" i="2" s="1"/>
  <c r="M9" i="2" s="1"/>
  <c r="F21" i="2"/>
  <c r="G21" i="2" s="1"/>
  <c r="H21" i="2" s="1"/>
  <c r="I21" i="2" s="1"/>
  <c r="J21" i="2" s="1"/>
  <c r="K21" i="2" s="1"/>
  <c r="L21" i="2" s="1"/>
  <c r="M21" i="2" s="1"/>
  <c r="F20" i="2"/>
  <c r="G20" i="2" s="1"/>
  <c r="H20" i="2" s="1"/>
  <c r="I20" i="2" s="1"/>
  <c r="J20" i="2" s="1"/>
  <c r="K20" i="2" s="1"/>
  <c r="L20" i="2" s="1"/>
  <c r="M20" i="2" s="1"/>
  <c r="G8" i="2"/>
  <c r="H8" i="2" s="1"/>
  <c r="I8" i="2" s="1"/>
  <c r="J8" i="2" s="1"/>
  <c r="K8" i="2" s="1"/>
  <c r="L8" i="2" s="1"/>
  <c r="M8" i="2" s="1"/>
  <c r="F22" i="2" l="1"/>
  <c r="G22" i="2" s="1"/>
  <c r="H22" i="2" s="1"/>
  <c r="I22" i="2" s="1"/>
  <c r="J22" i="2" s="1"/>
  <c r="K22" i="2" s="1"/>
  <c r="L22" i="2" s="1"/>
  <c r="M22" i="2" s="1"/>
  <c r="G12" i="2"/>
  <c r="H12" i="2" s="1"/>
  <c r="I12" i="2" s="1"/>
  <c r="J12" i="2" s="1"/>
  <c r="K12" i="2" s="1"/>
  <c r="L12" i="2" s="1"/>
  <c r="M12" i="2" s="1"/>
  <c r="M6" i="2"/>
  <c r="L6" i="2"/>
  <c r="K6" i="2"/>
  <c r="J6" i="2"/>
  <c r="I6" i="2"/>
  <c r="H6" i="2"/>
  <c r="G6" i="2"/>
  <c r="F6" i="2"/>
  <c r="F16" i="2"/>
  <c r="G16" i="2" s="1"/>
  <c r="H16" i="2" s="1"/>
  <c r="I16" i="2" s="1"/>
  <c r="J16" i="2" s="1"/>
  <c r="K16" i="2"/>
  <c r="L16" i="2" s="1"/>
  <c r="M16" i="2" s="1"/>
  <c r="E6" i="2" l="1"/>
  <c r="E17" i="2"/>
  <c r="D25" i="2"/>
  <c r="D13" i="2"/>
  <c r="D28" i="2" l="1"/>
  <c r="D29" i="2" s="1"/>
  <c r="C6" i="2"/>
  <c r="D32" i="2" l="1"/>
  <c r="D39" i="2" s="1"/>
  <c r="D40" i="2" s="1"/>
  <c r="E31" i="2" s="1"/>
  <c r="C22" i="2"/>
  <c r="C23" i="2"/>
  <c r="M17" i="2" l="1"/>
  <c r="L17" i="2"/>
  <c r="K17" i="2"/>
  <c r="J17" i="2"/>
  <c r="I17" i="2"/>
  <c r="H17" i="2"/>
  <c r="G17" i="2"/>
  <c r="F17" i="2"/>
  <c r="C17" i="2"/>
  <c r="C25" i="2" s="1"/>
  <c r="C13" i="2"/>
  <c r="E13" i="2"/>
  <c r="F13" i="2"/>
  <c r="G13" i="2"/>
  <c r="H13" i="2"/>
  <c r="I13" i="2"/>
  <c r="J13" i="2"/>
  <c r="K13" i="2"/>
  <c r="L13" i="2"/>
  <c r="M13" i="2"/>
  <c r="B19" i="2"/>
  <c r="B25" i="2" s="1"/>
  <c r="B13" i="2"/>
  <c r="E25" i="2" l="1"/>
  <c r="E28" i="2" s="1"/>
  <c r="H25" i="2"/>
  <c r="H28" i="2" s="1"/>
  <c r="H32" i="2" s="1"/>
  <c r="H39" i="2" s="1"/>
  <c r="G25" i="2"/>
  <c r="G28" i="2" s="1"/>
  <c r="G32" i="2" s="1"/>
  <c r="G39" i="2" s="1"/>
  <c r="F25" i="2"/>
  <c r="F28" i="2" s="1"/>
  <c r="F32" i="2" s="1"/>
  <c r="F39" i="2" s="1"/>
  <c r="C28" i="2"/>
  <c r="C29" i="2" s="1"/>
  <c r="B28" i="2"/>
  <c r="B32" i="2" s="1"/>
  <c r="B39" i="2" s="1"/>
  <c r="B40" i="2" s="1"/>
  <c r="C31" i="2" s="1"/>
  <c r="E32" i="2" l="1"/>
  <c r="E39" i="2" s="1"/>
  <c r="E29" i="2"/>
  <c r="F29" i="2" s="1"/>
  <c r="G29" i="2" s="1"/>
  <c r="H29" i="2" s="1"/>
  <c r="J25" i="2"/>
  <c r="J28" i="2" s="1"/>
  <c r="J32" i="2" s="1"/>
  <c r="J39" i="2" s="1"/>
  <c r="L25" i="2"/>
  <c r="L28" i="2" s="1"/>
  <c r="L32" i="2" s="1"/>
  <c r="L39" i="2" s="1"/>
  <c r="K25" i="2"/>
  <c r="K28" i="2" s="1"/>
  <c r="K32" i="2" s="1"/>
  <c r="K39" i="2" s="1"/>
  <c r="I25" i="2"/>
  <c r="I28" i="2" s="1"/>
  <c r="I32" i="2" s="1"/>
  <c r="I39" i="2" s="1"/>
  <c r="C32" i="2"/>
  <c r="C39" i="2" s="1"/>
  <c r="C40" i="2" s="1"/>
  <c r="E40" i="2" l="1"/>
  <c r="F31" i="2" s="1"/>
  <c r="F40" i="2" s="1"/>
  <c r="G31" i="2" s="1"/>
  <c r="G40" i="2" s="1"/>
  <c r="H31" i="2" s="1"/>
  <c r="H40" i="2" s="1"/>
  <c r="I31" i="2" s="1"/>
  <c r="I40" i="2" s="1"/>
  <c r="J31" i="2" s="1"/>
  <c r="J40" i="2" s="1"/>
  <c r="K31" i="2" s="1"/>
  <c r="K40" i="2" s="1"/>
  <c r="L31" i="2" s="1"/>
  <c r="L40" i="2" s="1"/>
  <c r="M31" i="2" s="1"/>
  <c r="M25" i="2"/>
  <c r="M28" i="2" s="1"/>
  <c r="M32" i="2" s="1"/>
  <c r="M39" i="2" s="1"/>
  <c r="I29" i="2"/>
  <c r="J29" i="2" s="1"/>
  <c r="K29" i="2" s="1"/>
  <c r="L29" i="2" s="1"/>
  <c r="M40" i="2" l="1"/>
  <c r="M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Jonas</author>
  </authors>
  <commentList>
    <comment ref="C5" authorId="0" shapeId="0" xr:uid="{E3B5C480-F0ED-4923-8E89-32478566D080}">
      <text>
        <r>
          <rPr>
            <b/>
            <sz val="9"/>
            <color indexed="81"/>
            <rFont val="Tahoma"/>
            <family val="2"/>
          </rPr>
          <t>Jonas:</t>
        </r>
        <r>
          <rPr>
            <sz val="9"/>
            <color indexed="81"/>
            <rFont val="Tahoma"/>
            <family val="2"/>
          </rPr>
          <t xml:space="preserve">
60 nya
</t>
        </r>
      </text>
    </comment>
    <comment ref="D5" authorId="0" shapeId="0" xr:uid="{A8B6DE7B-1AB0-46D0-8DEE-0DEAEC403245}">
      <text>
        <r>
          <rPr>
            <b/>
            <sz val="9"/>
            <color indexed="81"/>
            <rFont val="Tahoma"/>
            <charset val="1"/>
          </rPr>
          <t>Jonas:</t>
        </r>
        <r>
          <rPr>
            <sz val="9"/>
            <color indexed="81"/>
            <rFont val="Tahoma"/>
            <charset val="1"/>
          </rPr>
          <t xml:space="preserve">
61 nya</t>
        </r>
      </text>
    </comment>
    <comment ref="E5" authorId="0" shapeId="0" xr:uid="{FB6BA728-4799-4153-AE88-110BB6E1A6A5}">
      <text>
        <r>
          <rPr>
            <b/>
            <sz val="9"/>
            <color indexed="81"/>
            <rFont val="Tahoma"/>
            <family val="2"/>
          </rPr>
          <t>Jonas:</t>
        </r>
        <r>
          <rPr>
            <sz val="9"/>
            <color indexed="81"/>
            <rFont val="Tahoma"/>
            <family val="2"/>
          </rPr>
          <t xml:space="preserve">
40
</t>
        </r>
      </text>
    </comment>
    <comment ref="F5" authorId="0" shapeId="0" xr:uid="{B0DC3870-6655-4B44-8A74-3916726E8F5C}">
      <text>
        <r>
          <rPr>
            <b/>
            <sz val="9"/>
            <color indexed="81"/>
            <rFont val="Tahoma"/>
            <family val="2"/>
          </rPr>
          <t>Jonas:</t>
        </r>
        <r>
          <rPr>
            <sz val="9"/>
            <color indexed="81"/>
            <rFont val="Tahoma"/>
            <family val="2"/>
          </rPr>
          <t xml:space="preserve">
35</t>
        </r>
      </text>
    </comment>
    <comment ref="G5" authorId="0" shapeId="0" xr:uid="{F6F6EE87-E73A-4F64-8F31-4733B7BB4649}">
      <text>
        <r>
          <rPr>
            <b/>
            <sz val="9"/>
            <color indexed="81"/>
            <rFont val="Tahoma"/>
            <family val="2"/>
          </rPr>
          <t>Jonas:</t>
        </r>
        <r>
          <rPr>
            <sz val="9"/>
            <color indexed="81"/>
            <rFont val="Tahoma"/>
            <family val="2"/>
          </rPr>
          <t xml:space="preserve">
30</t>
        </r>
      </text>
    </comment>
    <comment ref="H5" authorId="0" shapeId="0" xr:uid="{0CAA2680-A368-4B2A-8A0C-63A914145CA2}">
      <text>
        <r>
          <rPr>
            <b/>
            <sz val="9"/>
            <color indexed="81"/>
            <rFont val="Tahoma"/>
            <family val="2"/>
          </rPr>
          <t>Jonas:</t>
        </r>
        <r>
          <rPr>
            <sz val="9"/>
            <color indexed="81"/>
            <rFont val="Tahoma"/>
            <family val="2"/>
          </rPr>
          <t xml:space="preserve">
30</t>
        </r>
      </text>
    </comment>
    <comment ref="I5" authorId="0" shapeId="0" xr:uid="{F6597303-54C1-4662-A576-50F4AF2BB4B5}">
      <text>
        <r>
          <rPr>
            <b/>
            <sz val="9"/>
            <color indexed="81"/>
            <rFont val="Tahoma"/>
            <family val="2"/>
          </rPr>
          <t>Jonas:</t>
        </r>
        <r>
          <rPr>
            <sz val="9"/>
            <color indexed="81"/>
            <rFont val="Tahoma"/>
            <family val="2"/>
          </rPr>
          <t xml:space="preserve">
30</t>
        </r>
      </text>
    </comment>
    <comment ref="J5" authorId="0" shapeId="0" xr:uid="{3BCC6363-F81C-4771-BE62-0D06644A43C7}">
      <text>
        <r>
          <rPr>
            <b/>
            <sz val="9"/>
            <color indexed="81"/>
            <rFont val="Tahoma"/>
            <family val="2"/>
          </rPr>
          <t>Jonas:</t>
        </r>
        <r>
          <rPr>
            <sz val="9"/>
            <color indexed="81"/>
            <rFont val="Tahoma"/>
            <family val="2"/>
          </rPr>
          <t xml:space="preserve">
30</t>
        </r>
      </text>
    </comment>
    <comment ref="K5" authorId="0" shapeId="0" xr:uid="{CCBAAEEF-53A9-4759-B262-5489C856637D}">
      <text>
        <r>
          <rPr>
            <b/>
            <sz val="9"/>
            <color indexed="81"/>
            <rFont val="Tahoma"/>
            <family val="2"/>
          </rPr>
          <t>Jonas:</t>
        </r>
        <r>
          <rPr>
            <sz val="9"/>
            <color indexed="81"/>
            <rFont val="Tahoma"/>
            <family val="2"/>
          </rPr>
          <t xml:space="preserve">
30</t>
        </r>
      </text>
    </comment>
    <comment ref="L5" authorId="0" shapeId="0" xr:uid="{91FC394C-67EB-4B1E-9D0F-5F9D38741522}">
      <text>
        <r>
          <rPr>
            <b/>
            <sz val="9"/>
            <color indexed="81"/>
            <rFont val="Tahoma"/>
            <family val="2"/>
          </rPr>
          <t>Jonas:</t>
        </r>
        <r>
          <rPr>
            <sz val="9"/>
            <color indexed="81"/>
            <rFont val="Tahoma"/>
            <family val="2"/>
          </rPr>
          <t xml:space="preserve">
30</t>
        </r>
      </text>
    </comment>
    <comment ref="M5" authorId="0" shapeId="0" xr:uid="{2003557A-8DFC-4986-A043-8E4AC6B505E7}">
      <text>
        <r>
          <rPr>
            <b/>
            <sz val="9"/>
            <color indexed="81"/>
            <rFont val="Tahoma"/>
            <family val="2"/>
          </rPr>
          <t>Jonas:</t>
        </r>
        <r>
          <rPr>
            <sz val="9"/>
            <color indexed="81"/>
            <rFont val="Tahoma"/>
            <family val="2"/>
          </rPr>
          <t xml:space="preserve">
30</t>
        </r>
      </text>
    </comment>
    <comment ref="C6" authorId="0" shapeId="0" xr:uid="{70D8F345-AA8E-47E9-9775-DC98225628F0}">
      <text>
        <r>
          <rPr>
            <b/>
            <sz val="9"/>
            <color indexed="81"/>
            <rFont val="Tahoma"/>
            <family val="2"/>
          </rPr>
          <t>Jonas:</t>
        </r>
        <r>
          <rPr>
            <sz val="9"/>
            <color indexed="81"/>
            <rFont val="Tahoma"/>
            <family val="2"/>
          </rPr>
          <t xml:space="preserve">
390+60-10=440
</t>
        </r>
      </text>
    </comment>
    <comment ref="D6" authorId="0" shapeId="0" xr:uid="{63ECEF3E-6274-4726-A553-9C4765DCBB4C}">
      <text>
        <r>
          <rPr>
            <b/>
            <sz val="9"/>
            <color indexed="81"/>
            <rFont val="Tahoma"/>
            <charset val="1"/>
          </rPr>
          <t>Jonas:</t>
        </r>
        <r>
          <rPr>
            <sz val="9"/>
            <color indexed="81"/>
            <rFont val="Tahoma"/>
            <charset val="1"/>
          </rPr>
          <t xml:space="preserve">
390 IB
61 nya
-26 utträden
425 UB</t>
        </r>
      </text>
    </comment>
    <comment ref="E6" authorId="0" shapeId="0" xr:uid="{D5362B08-5D6D-4528-8F10-0EA93F027FC2}">
      <text>
        <r>
          <rPr>
            <b/>
            <sz val="9"/>
            <color indexed="81"/>
            <rFont val="Tahoma"/>
            <charset val="1"/>
          </rPr>
          <t>Jonas:</t>
        </r>
        <r>
          <rPr>
            <sz val="9"/>
            <color indexed="81"/>
            <rFont val="Tahoma"/>
            <charset val="1"/>
          </rPr>
          <t xml:space="preserve">
425 IB
40 nya
25 utträden
440 UB</t>
        </r>
      </text>
    </comment>
    <comment ref="F6" authorId="0" shapeId="0" xr:uid="{DD3F94F9-7AC7-486E-9079-4E94ED3F1C22}">
      <text>
        <r>
          <rPr>
            <b/>
            <sz val="9"/>
            <color indexed="81"/>
            <rFont val="Tahoma"/>
            <family val="2"/>
          </rPr>
          <t>Jonas:</t>
        </r>
        <r>
          <rPr>
            <sz val="9"/>
            <color indexed="81"/>
            <rFont val="Tahoma"/>
            <family val="2"/>
          </rPr>
          <t xml:space="preserve">
440 IB
35 nya
25 utträden
450 UB</t>
        </r>
      </text>
    </comment>
    <comment ref="G6" authorId="0" shapeId="0" xr:uid="{669BB2F7-659E-4D43-A754-0B840908892E}">
      <text>
        <r>
          <rPr>
            <b/>
            <sz val="9"/>
            <color indexed="81"/>
            <rFont val="Tahoma"/>
            <family val="2"/>
          </rPr>
          <t>Jonas:</t>
        </r>
        <r>
          <rPr>
            <sz val="9"/>
            <color indexed="81"/>
            <rFont val="Tahoma"/>
            <family val="2"/>
          </rPr>
          <t xml:space="preserve">
450 IB
30 nya
20 ut
460 UB
</t>
        </r>
      </text>
    </comment>
    <comment ref="H6" authorId="0" shapeId="0" xr:uid="{F657E357-2F29-4797-B44D-1C1A450B859A}">
      <text>
        <r>
          <rPr>
            <b/>
            <sz val="9"/>
            <color indexed="81"/>
            <rFont val="Tahoma"/>
            <family val="2"/>
          </rPr>
          <t>Jonas:</t>
        </r>
        <r>
          <rPr>
            <sz val="9"/>
            <color indexed="81"/>
            <rFont val="Tahoma"/>
            <family val="2"/>
          </rPr>
          <t xml:space="preserve">
460 IB
30 nya
20 ut
470 UB</t>
        </r>
      </text>
    </comment>
    <comment ref="I6" authorId="0" shapeId="0" xr:uid="{CABC68C8-3053-4746-BCE9-0923C53685C2}">
      <text>
        <r>
          <rPr>
            <b/>
            <sz val="9"/>
            <color indexed="81"/>
            <rFont val="Tahoma"/>
            <family val="2"/>
          </rPr>
          <t>Jonas:</t>
        </r>
        <r>
          <rPr>
            <sz val="9"/>
            <color indexed="81"/>
            <rFont val="Tahoma"/>
            <family val="2"/>
          </rPr>
          <t xml:space="preserve">
270 IB
30 nya
20 ut 
280 UB</t>
        </r>
      </text>
    </comment>
    <comment ref="J6" authorId="0" shapeId="0" xr:uid="{D0CBB5D5-3196-436B-9C81-61923EA80ED9}">
      <text>
        <r>
          <rPr>
            <b/>
            <sz val="9"/>
            <color indexed="81"/>
            <rFont val="Tahoma"/>
            <family val="2"/>
          </rPr>
          <t>Jonas:</t>
        </r>
        <r>
          <rPr>
            <sz val="9"/>
            <color indexed="81"/>
            <rFont val="Tahoma"/>
            <family val="2"/>
          </rPr>
          <t xml:space="preserve">
480 IB 
30 nya
20 ut
490 UB</t>
        </r>
      </text>
    </comment>
    <comment ref="K6" authorId="0" shapeId="0" xr:uid="{921CA6ED-1135-47A3-86BC-E0CDDFEC7A03}">
      <text>
        <r>
          <rPr>
            <b/>
            <sz val="9"/>
            <color indexed="81"/>
            <rFont val="Tahoma"/>
            <family val="2"/>
          </rPr>
          <t>Jonas:</t>
        </r>
        <r>
          <rPr>
            <sz val="9"/>
            <color indexed="81"/>
            <rFont val="Tahoma"/>
            <family val="2"/>
          </rPr>
          <t xml:space="preserve">
490 IB
30 nya
20 ut 
500 UB</t>
        </r>
      </text>
    </comment>
    <comment ref="L6" authorId="0" shapeId="0" xr:uid="{8E25E4D4-8C2B-43FD-BB4F-A23B4A886A51}">
      <text>
        <r>
          <rPr>
            <b/>
            <sz val="9"/>
            <color indexed="81"/>
            <rFont val="Tahoma"/>
            <family val="2"/>
          </rPr>
          <t>Jonas:</t>
        </r>
        <r>
          <rPr>
            <sz val="9"/>
            <color indexed="81"/>
            <rFont val="Tahoma"/>
            <family val="2"/>
          </rPr>
          <t xml:space="preserve">
500 IB
30 nya
20 ut
510 UB</t>
        </r>
      </text>
    </comment>
    <comment ref="M6" authorId="0" shapeId="0" xr:uid="{97236452-C906-45EA-B994-3E27CFD73B06}">
      <text>
        <r>
          <rPr>
            <b/>
            <sz val="9"/>
            <color indexed="81"/>
            <rFont val="Tahoma"/>
            <family val="2"/>
          </rPr>
          <t>Jonas:</t>
        </r>
        <r>
          <rPr>
            <sz val="9"/>
            <color indexed="81"/>
            <rFont val="Tahoma"/>
            <family val="2"/>
          </rPr>
          <t xml:space="preserve">
510 IB
30 nya
20 ut 
520 UB</t>
        </r>
      </text>
    </comment>
    <comment ref="K16" authorId="0" shapeId="0" xr:uid="{B55DFF5E-E76F-4209-9EC5-A42FCD8B3140}">
      <text>
        <r>
          <rPr>
            <b/>
            <sz val="9"/>
            <color indexed="81"/>
            <rFont val="Tahoma"/>
            <family val="2"/>
          </rPr>
          <t>Jonas:</t>
        </r>
        <r>
          <rPr>
            <sz val="9"/>
            <color indexed="81"/>
            <rFont val="Tahoma"/>
            <family val="2"/>
          </rPr>
          <t xml:space="preserve">
224000 uppräknat med 2%/år sedan 2021.</t>
        </r>
      </text>
    </comment>
    <comment ref="L33" authorId="0" shapeId="0" xr:uid="{99F8D3A5-D7F1-4E61-856A-7995C3830B26}">
      <text>
        <r>
          <rPr>
            <b/>
            <sz val="9"/>
            <color indexed="81"/>
            <rFont val="Tahoma"/>
            <charset val="1"/>
          </rPr>
          <t>Jonas:</t>
        </r>
        <r>
          <rPr>
            <sz val="9"/>
            <color indexed="81"/>
            <rFont val="Tahoma"/>
            <charset val="1"/>
          </rPr>
          <t xml:space="preserve">
50 av medlemslånen 2029 och 50% 2031
</t>
        </r>
      </text>
    </comment>
  </commentList>
</comments>
</file>

<file path=xl/sharedStrings.xml><?xml version="1.0" encoding="utf-8"?>
<sst xmlns="http://schemas.openxmlformats.org/spreadsheetml/2006/main" count="67" uniqueCount="64">
  <si>
    <t>Intäkter</t>
  </si>
  <si>
    <t>Kostnader</t>
  </si>
  <si>
    <t>Eget kapital</t>
  </si>
  <si>
    <t>UTFALL</t>
  </si>
  <si>
    <t>BUDGET</t>
  </si>
  <si>
    <t>PROGNOS -&gt;</t>
  </si>
  <si>
    <t>Summa intäkter</t>
  </si>
  <si>
    <t>Arrende Tyresö kommun</t>
  </si>
  <si>
    <t>SBU/SMBF</t>
  </si>
  <si>
    <t>Seglarförbundet</t>
  </si>
  <si>
    <t>Avskrivningar 5 år / 25 år</t>
  </si>
  <si>
    <t>-</t>
  </si>
  <si>
    <t>Räntekostnader</t>
  </si>
  <si>
    <t>Summa kostnader</t>
  </si>
  <si>
    <t>Resultat</t>
  </si>
  <si>
    <t>Årets resultat</t>
  </si>
  <si>
    <t>Kassa 1/1</t>
  </si>
  <si>
    <t>Resultat kassaflödespåverkande</t>
  </si>
  <si>
    <t>Årets kassaflöde</t>
  </si>
  <si>
    <t>Kassa 31/12</t>
  </si>
  <si>
    <t>Administration</t>
  </si>
  <si>
    <t>Investeringar/tillgångar:</t>
  </si>
  <si>
    <t>Amortering banklån, 10%</t>
  </si>
  <si>
    <t>Inträdesavgifter, 800 kr</t>
  </si>
  <si>
    <t>Medlemsavgifter, 495 kr</t>
  </si>
  <si>
    <t>Bryggavgifter (214)  1)</t>
  </si>
  <si>
    <t>Bojplatsavgifter (16)  2)</t>
  </si>
  <si>
    <t>Vinterplatsavgifter (90)  3)</t>
  </si>
  <si>
    <t>Jolle/sjösport 4)</t>
  </si>
  <si>
    <t>Övriga intäkter 5)</t>
  </si>
  <si>
    <t>Jolle/sjösport, exkl. Seglarförbundet 4)</t>
  </si>
  <si>
    <t>Bidrag sjösättningsramp</t>
  </si>
  <si>
    <t>Underhållskostnader 6)</t>
  </si>
  <si>
    <t>Övriga driftskostnader 7)</t>
  </si>
  <si>
    <t>Sjösättningsramp mellan brygga 1 och 2</t>
  </si>
  <si>
    <t>7) 2021: varav 64 000 kr markhyra och flytt av bodarna; varav elkostnad 48 000 (höjning med 20 tkr jfr 2020)</t>
  </si>
  <si>
    <t>Fordringar/skulder mot kassan 9)</t>
  </si>
  <si>
    <t>9) varav 300 000 kr bidrag nya bodar är balanserat 2021-12-31 i avvaktan på bygglov alt. återbetalning.</t>
  </si>
  <si>
    <t>8) Delåterbetalning 50% av medlems-/brygglånen estimeras kunna ske 2029.</t>
  </si>
  <si>
    <t>6) 2021: varav 300 000 kr flytt vågbrytare och 52 000 kr rep. elfel på piren; 2022: varav 40 000 kr reparation av låga bryggan vid stora kajen.</t>
  </si>
  <si>
    <t>Förändring medlemslån - återbetaln. 8)</t>
  </si>
  <si>
    <t>Ej beslutade investeringar</t>
  </si>
  <si>
    <t>För TSBK medför det nya intäkter om 55 Tkr</t>
  </si>
  <si>
    <t>För TSBK medför det nya intäkter om 16 Tkr</t>
  </si>
  <si>
    <t>Föreslagna avgiftsförändringar 2023</t>
  </si>
  <si>
    <t>För normalbåten (tex en Nimbus 26) blir kostnaden ca 300 kr högre (+11%)</t>
  </si>
  <si>
    <t>För normalbåten (tex en Nimbus 26) blir kostnaden ca 200 kr högre (+9%)</t>
  </si>
  <si>
    <t>För TSBK medför det nya intäkter om ca 5 Tkr</t>
  </si>
  <si>
    <t>1) Bryggavgifterna föreslås höjas from 2023 för normalbåten med drygt 11% eller ca 300 kronor. Avgiften är tom 2022 500 kr + längd*bredd*bredd*faktor 35kr (faktorn föreslås höjas 2023 till 40kr). Bryggavgiften för storbåtarna utvändigt brygga 3A</t>
  </si>
  <si>
    <t>3) Vinterplatsavgifterna föreslås höjas 2023 för normalbåten med knappt 9% eller drygt 200 kronor. Avgiften är tom 2022 500 kr + längd*bredd*faktor 90kr (faktorn höjs 2023 till 100kr).</t>
  </si>
  <si>
    <t>El- och vattenabonnemangsavgiften höjs från 1 750 kr till 3 000 kr (+71%)</t>
  </si>
  <si>
    <t>Bojavgiften höjs med 300 kr från 1 000 kr till 1 300 kr</t>
  </si>
  <si>
    <t>För TSBK medför det nya intäkter om 5 Tkr</t>
  </si>
  <si>
    <t>Tyresö Strands Båtklubb - Budget 2022 och finansplan t.o.m. 2030</t>
  </si>
  <si>
    <t>4) Jolle/Sjösport planerar neddragningar jfr. 2021 i antal seglarskolor och för 2-kronegruppen men ger ändå ett kassatillskott om ca 44 000 kr.</t>
  </si>
  <si>
    <t>Bryggavgiftens faktor höjs från nuvarande 35 kr till 40 kr</t>
  </si>
  <si>
    <t>Bryggavgiften beräknas som 500 kr + (båtens längd * båtens bredd * båtens bredd * faktor 40 kr)</t>
  </si>
  <si>
    <t>Bryggavgiften för utsidesplatserna på 3A höjs med 1 000 kr från 18 750 kr till 19 750 kr (+5%)</t>
  </si>
  <si>
    <t>För TSBK medför det nya intäkter om 4 Tkr</t>
  </si>
  <si>
    <t>Vinterplatsavgiftens faktor höjs från nuvarande 90 kr till 100 kr</t>
  </si>
  <si>
    <t>Vinterplatsavgiften beräknas som 500 kr + (båtens längd * båtens bredd * faktor 100 kr)</t>
  </si>
  <si>
    <t>föreslås höjas 2023 med 1 000 kr, eller 5%.</t>
  </si>
  <si>
    <t>2) Bojavgifterna föreslås höjas från 1 000 kr till 1 300 kr 2023. Bojavgiften har varit oförändrad i mer än 10 år.</t>
  </si>
  <si>
    <t>5) 2022: Inkl. köavgifter est. 100 st. * 200 kr. Försäljning av bodarna inbringar 120 000 kr samt försäljning av Hullwashern estimeras ge 100 000 kr. Pga kraftigt höjda elpriser föreslås el- och vattenabonnemanget höjas 2023 från 1 750 kr till 3 000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</si>
</sst>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k_r_-;\-* #,##0\ _k_r_-;_-* &quot;-&quot;??\ _k_r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14" fontId="0" fillId="0" borderId="0" xfId="0" applyNumberFormat="1" applyAlignment="1">
      <alignment horizontal="left"/>
    </xf>
    <xf numFmtId="0" fontId="7" fillId="0" borderId="0" xfId="0" applyFont="1"/>
    <xf numFmtId="0" fontId="7" fillId="0" borderId="2" xfId="0" applyFont="1" applyBorder="1"/>
    <xf numFmtId="164" fontId="4" fillId="0" borderId="0" xfId="0" applyNumberFormat="1" applyFont="1"/>
    <xf numFmtId="164" fontId="4" fillId="0" borderId="2" xfId="0" applyNumberFormat="1" applyFont="1" applyBorder="1"/>
    <xf numFmtId="38" fontId="4" fillId="0" borderId="0" xfId="0" applyNumberFormat="1" applyFont="1"/>
    <xf numFmtId="164" fontId="2" fillId="0" borderId="4" xfId="0" applyNumberFormat="1" applyFont="1" applyBorder="1"/>
    <xf numFmtId="164" fontId="2" fillId="0" borderId="0" xfId="1" applyNumberFormat="1" applyFont="1"/>
    <xf numFmtId="164" fontId="2" fillId="0" borderId="2" xfId="1" applyNumberFormat="1" applyFont="1" applyBorder="1"/>
    <xf numFmtId="164" fontId="2" fillId="0" borderId="0" xfId="0" applyNumberFormat="1" applyFont="1"/>
    <xf numFmtId="164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0" fillId="0" borderId="0" xfId="0" applyNumberFormat="1" applyFont="1"/>
    <xf numFmtId="164" fontId="0" fillId="0" borderId="2" xfId="0" applyNumberFormat="1" applyFont="1" applyBorder="1"/>
    <xf numFmtId="38" fontId="2" fillId="0" borderId="7" xfId="1" applyNumberFormat="1" applyFont="1" applyBorder="1" applyAlignment="1">
      <alignment horizontal="center" vertical="center"/>
    </xf>
    <xf numFmtId="38" fontId="2" fillId="0" borderId="6" xfId="1" applyNumberFormat="1" applyFont="1" applyBorder="1" applyAlignment="1">
      <alignment horizontal="center" vertical="center"/>
    </xf>
    <xf numFmtId="38" fontId="2" fillId="0" borderId="8" xfId="0" applyNumberFormat="1" applyFont="1" applyBorder="1" applyAlignment="1">
      <alignment horizontal="center" vertical="center"/>
    </xf>
    <xf numFmtId="38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9" fillId="2" borderId="0" xfId="0" applyFont="1" applyFill="1"/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5" xfId="0" applyFont="1" applyBorder="1"/>
    <xf numFmtId="0" fontId="10" fillId="0" borderId="0" xfId="0" applyFont="1"/>
    <xf numFmtId="3" fontId="5" fillId="0" borderId="0" xfId="0" applyNumberFormat="1" applyFont="1"/>
    <xf numFmtId="38" fontId="5" fillId="0" borderId="6" xfId="1" applyNumberFormat="1" applyFont="1" applyBorder="1"/>
    <xf numFmtId="3" fontId="2" fillId="0" borderId="8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/>
    <xf numFmtId="3" fontId="0" fillId="0" borderId="0" xfId="0" applyNumberFormat="1"/>
    <xf numFmtId="3" fontId="13" fillId="0" borderId="5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3" fontId="8" fillId="0" borderId="5" xfId="0" applyNumberFormat="1" applyFont="1" applyBorder="1" applyAlignment="1">
      <alignment horizontal="center"/>
    </xf>
    <xf numFmtId="10" fontId="0" fillId="0" borderId="0" xfId="0" applyNumberFormat="1"/>
    <xf numFmtId="3" fontId="13" fillId="0" borderId="8" xfId="0" applyNumberFormat="1" applyFont="1" applyBorder="1" applyAlignment="1">
      <alignment horizontal="center"/>
    </xf>
    <xf numFmtId="0" fontId="5" fillId="0" borderId="9" xfId="0" applyFont="1" applyBorder="1"/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69FFA-F4BA-4D87-9C5E-67E6509D791F}">
  <dimension ref="A1:U51"/>
  <sheetViews>
    <sheetView tabSelected="1" topLeftCell="A29" zoomScale="115" zoomScaleNormal="115" workbookViewId="0">
      <selection activeCell="M49" sqref="M49"/>
    </sheetView>
  </sheetViews>
  <sheetFormatPr defaultRowHeight="15" x14ac:dyDescent="0.25"/>
  <cols>
    <col min="1" max="1" width="37.7109375" customWidth="1"/>
    <col min="2" max="13" width="13.7109375" customWidth="1"/>
    <col min="14" max="14" width="13" style="43" customWidth="1"/>
    <col min="15" max="16" width="9.5703125" bestFit="1" customWidth="1"/>
  </cols>
  <sheetData>
    <row r="1" spans="1:21" ht="24" thickBot="1" x14ac:dyDescent="0.4">
      <c r="A1" s="2" t="s">
        <v>53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  <c r="N1" s="42"/>
    </row>
    <row r="2" spans="1:21" ht="24.6" customHeight="1" x14ac:dyDescent="0.35">
      <c r="A2" s="6">
        <v>44608</v>
      </c>
      <c r="B2" s="3" t="s">
        <v>3</v>
      </c>
      <c r="C2" s="3" t="s">
        <v>4</v>
      </c>
      <c r="D2" s="3" t="s">
        <v>3</v>
      </c>
      <c r="E2" s="30" t="s">
        <v>4</v>
      </c>
      <c r="F2" s="3" t="s">
        <v>5</v>
      </c>
      <c r="G2" s="7"/>
      <c r="H2" s="7"/>
      <c r="I2" s="7"/>
      <c r="J2" s="7"/>
      <c r="K2" s="7"/>
      <c r="L2" s="7"/>
      <c r="O2" s="46"/>
    </row>
    <row r="3" spans="1:21" ht="21" x14ac:dyDescent="0.35">
      <c r="A3" s="7"/>
      <c r="B3" s="7"/>
      <c r="C3" s="7"/>
      <c r="D3" s="7"/>
      <c r="E3" s="41"/>
      <c r="F3" s="7"/>
      <c r="G3" s="7"/>
      <c r="H3" s="7"/>
      <c r="I3" s="7"/>
      <c r="J3" s="7"/>
      <c r="K3" s="7"/>
      <c r="L3" s="7"/>
      <c r="M3" s="7"/>
      <c r="O3" s="46"/>
    </row>
    <row r="4" spans="1:21" s="1" customFormat="1" ht="18.75" x14ac:dyDescent="0.3">
      <c r="A4" s="26" t="s">
        <v>0</v>
      </c>
      <c r="B4" s="28">
        <v>2020</v>
      </c>
      <c r="C4" s="28">
        <v>2021</v>
      </c>
      <c r="D4" s="28">
        <v>2021</v>
      </c>
      <c r="E4" s="27">
        <v>2022</v>
      </c>
      <c r="F4" s="28">
        <v>2023</v>
      </c>
      <c r="G4" s="28">
        <v>2024</v>
      </c>
      <c r="H4" s="28">
        <v>2025</v>
      </c>
      <c r="I4" s="28">
        <v>2026</v>
      </c>
      <c r="J4" s="28">
        <v>2027</v>
      </c>
      <c r="K4" s="28">
        <v>2028</v>
      </c>
      <c r="L4" s="28">
        <v>2029</v>
      </c>
      <c r="M4" s="28">
        <v>2030</v>
      </c>
      <c r="N4" s="44"/>
    </row>
    <row r="5" spans="1:21" ht="15.75" x14ac:dyDescent="0.25">
      <c r="A5" s="31" t="s">
        <v>23</v>
      </c>
      <c r="B5" s="13">
        <v>62400</v>
      </c>
      <c r="C5" s="13">
        <v>48000</v>
      </c>
      <c r="D5" s="13">
        <v>48800</v>
      </c>
      <c r="E5" s="14">
        <v>32000</v>
      </c>
      <c r="F5" s="13">
        <v>28000</v>
      </c>
      <c r="G5" s="13">
        <v>24000</v>
      </c>
      <c r="H5" s="13">
        <v>24000</v>
      </c>
      <c r="I5" s="13">
        <v>24000</v>
      </c>
      <c r="J5" s="13">
        <v>24000</v>
      </c>
      <c r="K5" s="13">
        <v>24000</v>
      </c>
      <c r="L5" s="13">
        <v>24000</v>
      </c>
      <c r="M5" s="13">
        <v>24000</v>
      </c>
    </row>
    <row r="6" spans="1:21" ht="15.75" x14ac:dyDescent="0.25">
      <c r="A6" s="31" t="s">
        <v>24</v>
      </c>
      <c r="B6" s="15">
        <v>193050</v>
      </c>
      <c r="C6" s="15">
        <f>440*495</f>
        <v>217800</v>
      </c>
      <c r="D6" s="15">
        <v>210375</v>
      </c>
      <c r="E6" s="14">
        <f>(425+40-25)*495</f>
        <v>217800</v>
      </c>
      <c r="F6" s="15">
        <f>(440+35-25)*495</f>
        <v>222750</v>
      </c>
      <c r="G6" s="15">
        <f>(450+30-20)*495</f>
        <v>227700</v>
      </c>
      <c r="H6" s="15">
        <f>(460+30-20)*495</f>
        <v>232650</v>
      </c>
      <c r="I6" s="15">
        <f>(470+30-20)*495</f>
        <v>237600</v>
      </c>
      <c r="J6" s="15">
        <f>(480+30-20)*495</f>
        <v>242550</v>
      </c>
      <c r="K6" s="15">
        <f>(490+30-20)*495</f>
        <v>247500</v>
      </c>
      <c r="L6" s="15">
        <f>(500+30-20)*495</f>
        <v>252450</v>
      </c>
      <c r="M6" s="15">
        <f>(510+30-20)*495</f>
        <v>257400</v>
      </c>
    </row>
    <row r="7" spans="1:21" ht="15.75" x14ac:dyDescent="0.25">
      <c r="A7" s="31" t="s">
        <v>25</v>
      </c>
      <c r="B7" s="15">
        <v>509820</v>
      </c>
      <c r="C7" s="15">
        <v>510000</v>
      </c>
      <c r="D7" s="15">
        <v>508074</v>
      </c>
      <c r="E7" s="14">
        <v>510000</v>
      </c>
      <c r="F7" s="15">
        <v>569000</v>
      </c>
      <c r="G7" s="15">
        <f>F7</f>
        <v>569000</v>
      </c>
      <c r="H7" s="15">
        <f t="shared" ref="H7:M7" si="0">G7</f>
        <v>569000</v>
      </c>
      <c r="I7" s="15">
        <f t="shared" si="0"/>
        <v>569000</v>
      </c>
      <c r="J7" s="15">
        <f t="shared" si="0"/>
        <v>569000</v>
      </c>
      <c r="K7" s="15">
        <f t="shared" si="0"/>
        <v>569000</v>
      </c>
      <c r="L7" s="15">
        <f t="shared" si="0"/>
        <v>569000</v>
      </c>
      <c r="M7" s="15">
        <f t="shared" si="0"/>
        <v>569000</v>
      </c>
    </row>
    <row r="8" spans="1:21" ht="15.75" x14ac:dyDescent="0.25">
      <c r="A8" s="31" t="s">
        <v>26</v>
      </c>
      <c r="B8" s="15">
        <v>13000</v>
      </c>
      <c r="C8" s="15">
        <v>11000</v>
      </c>
      <c r="D8" s="15">
        <v>15000</v>
      </c>
      <c r="E8" s="14">
        <v>16000</v>
      </c>
      <c r="F8" s="15">
        <v>20800</v>
      </c>
      <c r="G8" s="15">
        <f t="shared" ref="G8:M8" si="1">F8</f>
        <v>20800</v>
      </c>
      <c r="H8" s="15">
        <f t="shared" si="1"/>
        <v>20800</v>
      </c>
      <c r="I8" s="15">
        <f t="shared" si="1"/>
        <v>20800</v>
      </c>
      <c r="J8" s="15">
        <f t="shared" si="1"/>
        <v>20800</v>
      </c>
      <c r="K8" s="15">
        <f t="shared" si="1"/>
        <v>20800</v>
      </c>
      <c r="L8" s="15">
        <f t="shared" si="1"/>
        <v>20800</v>
      </c>
      <c r="M8" s="15">
        <f t="shared" si="1"/>
        <v>20800</v>
      </c>
    </row>
    <row r="9" spans="1:21" ht="15.75" x14ac:dyDescent="0.25">
      <c r="A9" s="31" t="s">
        <v>27</v>
      </c>
      <c r="B9" s="15">
        <v>188304</v>
      </c>
      <c r="C9" s="15">
        <v>190000</v>
      </c>
      <c r="D9" s="15">
        <v>191231</v>
      </c>
      <c r="E9" s="16">
        <v>192000</v>
      </c>
      <c r="F9" s="15">
        <f>(192000-45000)/90*100+45000</f>
        <v>208333.33333333331</v>
      </c>
      <c r="G9" s="15">
        <f t="shared" ref="G9:M10" si="2">F9</f>
        <v>208333.33333333331</v>
      </c>
      <c r="H9" s="15">
        <f t="shared" si="2"/>
        <v>208333.33333333331</v>
      </c>
      <c r="I9" s="15">
        <f t="shared" si="2"/>
        <v>208333.33333333331</v>
      </c>
      <c r="J9" s="15">
        <f t="shared" si="2"/>
        <v>208333.33333333331</v>
      </c>
      <c r="K9" s="15">
        <f t="shared" si="2"/>
        <v>208333.33333333331</v>
      </c>
      <c r="L9" s="15">
        <f t="shared" si="2"/>
        <v>208333.33333333331</v>
      </c>
      <c r="M9" s="15">
        <f t="shared" si="2"/>
        <v>208333.33333333331</v>
      </c>
    </row>
    <row r="10" spans="1:21" ht="15.75" x14ac:dyDescent="0.25">
      <c r="A10" s="31" t="s">
        <v>28</v>
      </c>
      <c r="B10" s="15">
        <v>220830</v>
      </c>
      <c r="C10" s="15">
        <v>230000</v>
      </c>
      <c r="D10" s="15">
        <v>215300</v>
      </c>
      <c r="E10" s="16">
        <v>135000</v>
      </c>
      <c r="F10" s="15">
        <f>E10</f>
        <v>135000</v>
      </c>
      <c r="G10" s="15">
        <f t="shared" si="2"/>
        <v>135000</v>
      </c>
      <c r="H10" s="15">
        <f t="shared" si="2"/>
        <v>135000</v>
      </c>
      <c r="I10" s="15">
        <f t="shared" si="2"/>
        <v>135000</v>
      </c>
      <c r="J10" s="15">
        <f t="shared" si="2"/>
        <v>135000</v>
      </c>
      <c r="K10" s="15">
        <f t="shared" si="2"/>
        <v>135000</v>
      </c>
      <c r="L10" s="15">
        <f t="shared" si="2"/>
        <v>135000</v>
      </c>
      <c r="M10" s="15">
        <f t="shared" si="2"/>
        <v>135000</v>
      </c>
    </row>
    <row r="11" spans="1:21" ht="15.75" x14ac:dyDescent="0.25">
      <c r="A11" s="31" t="s">
        <v>31</v>
      </c>
      <c r="B11" s="15">
        <v>70000</v>
      </c>
      <c r="C11" s="15"/>
      <c r="D11" s="15"/>
      <c r="E11" s="16">
        <v>49375</v>
      </c>
      <c r="F11" s="15"/>
      <c r="G11" s="15"/>
      <c r="H11" s="15"/>
      <c r="I11" s="15"/>
      <c r="J11" s="15"/>
      <c r="K11" s="15"/>
      <c r="L11" s="15"/>
      <c r="M11" s="15"/>
    </row>
    <row r="12" spans="1:21" ht="15.75" x14ac:dyDescent="0.25">
      <c r="A12" s="31" t="s">
        <v>29</v>
      </c>
      <c r="B12" s="15">
        <v>8711</v>
      </c>
      <c r="C12" s="15">
        <v>50000</v>
      </c>
      <c r="D12" s="15">
        <v>79595</v>
      </c>
      <c r="E12" s="14">
        <v>300000</v>
      </c>
      <c r="F12" s="15">
        <v>110000</v>
      </c>
      <c r="G12" s="15">
        <f>F12*1.02</f>
        <v>112200</v>
      </c>
      <c r="H12" s="15">
        <f t="shared" ref="H12:M12" si="3">G12*1.02</f>
        <v>114444</v>
      </c>
      <c r="I12" s="15">
        <f t="shared" si="3"/>
        <v>116732.88</v>
      </c>
      <c r="J12" s="15">
        <f t="shared" si="3"/>
        <v>119067.53760000001</v>
      </c>
      <c r="K12" s="15">
        <f t="shared" si="3"/>
        <v>121448.88835200001</v>
      </c>
      <c r="L12" s="15">
        <f t="shared" si="3"/>
        <v>123877.86611904002</v>
      </c>
      <c r="M12" s="15">
        <f t="shared" si="3"/>
        <v>126355.42344142082</v>
      </c>
    </row>
    <row r="13" spans="1:21" ht="16.5" thickBot="1" x14ac:dyDescent="0.3">
      <c r="A13" s="29" t="s">
        <v>6</v>
      </c>
      <c r="B13" s="38">
        <f>SUM(B4:B12)</f>
        <v>1268135</v>
      </c>
      <c r="C13" s="38">
        <f>SUM(C4:C12)</f>
        <v>1258821</v>
      </c>
      <c r="D13" s="38">
        <f>SUM(D5:D12)</f>
        <v>1268375</v>
      </c>
      <c r="E13" s="12">
        <f t="shared" ref="E13:M13" si="4">SUM(E4:E12)</f>
        <v>1454197</v>
      </c>
      <c r="F13" s="38">
        <f t="shared" si="4"/>
        <v>1295906.3333333333</v>
      </c>
      <c r="G13" s="38">
        <f t="shared" si="4"/>
        <v>1299057.3333333333</v>
      </c>
      <c r="H13" s="38">
        <f t="shared" si="4"/>
        <v>1306252.3333333333</v>
      </c>
      <c r="I13" s="38">
        <f t="shared" si="4"/>
        <v>1313492.2133333334</v>
      </c>
      <c r="J13" s="38">
        <f t="shared" si="4"/>
        <v>1320777.8709333332</v>
      </c>
      <c r="K13" s="38">
        <f t="shared" si="4"/>
        <v>1328110.2216853332</v>
      </c>
      <c r="L13" s="38">
        <f t="shared" si="4"/>
        <v>1335490.1994523732</v>
      </c>
      <c r="M13" s="38">
        <f t="shared" si="4"/>
        <v>1342918.756774754</v>
      </c>
    </row>
    <row r="14" spans="1:21" ht="9.6" customHeight="1" thickTop="1" x14ac:dyDescent="0.35">
      <c r="A14" s="7"/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M14" s="7"/>
    </row>
    <row r="15" spans="1:21" s="1" customFormat="1" ht="18.75" x14ac:dyDescent="0.3">
      <c r="A15" s="26" t="s">
        <v>1</v>
      </c>
      <c r="B15" s="28">
        <v>2020</v>
      </c>
      <c r="C15" s="28">
        <v>2021</v>
      </c>
      <c r="D15" s="28">
        <v>2021</v>
      </c>
      <c r="E15" s="27">
        <v>2022</v>
      </c>
      <c r="F15" s="28">
        <v>2023</v>
      </c>
      <c r="G15" s="28">
        <v>2024</v>
      </c>
      <c r="H15" s="28">
        <v>2025</v>
      </c>
      <c r="I15" s="28">
        <v>2026</v>
      </c>
      <c r="J15" s="28">
        <v>2027</v>
      </c>
      <c r="K15" s="28">
        <v>2028</v>
      </c>
      <c r="L15" s="28">
        <v>2029</v>
      </c>
      <c r="M15" s="28">
        <v>2030</v>
      </c>
      <c r="N15" s="44"/>
      <c r="O15"/>
      <c r="P15"/>
      <c r="Q15"/>
      <c r="R15"/>
      <c r="S15"/>
      <c r="T15"/>
      <c r="U15"/>
    </row>
    <row r="16" spans="1:21" ht="15.75" x14ac:dyDescent="0.25">
      <c r="A16" s="31" t="s">
        <v>7</v>
      </c>
      <c r="B16" s="18">
        <v>-7700</v>
      </c>
      <c r="C16" s="18">
        <v>-7720</v>
      </c>
      <c r="D16" s="18">
        <v>-7721</v>
      </c>
      <c r="E16" s="17">
        <v>-7900</v>
      </c>
      <c r="F16" s="18">
        <f>E16*1.02</f>
        <v>-8058</v>
      </c>
      <c r="G16" s="18">
        <f t="shared" ref="G16:J16" si="5">F16*1.02</f>
        <v>-8219.16</v>
      </c>
      <c r="H16" s="18">
        <f t="shared" si="5"/>
        <v>-8383.5432000000001</v>
      </c>
      <c r="I16" s="18">
        <f t="shared" si="5"/>
        <v>-8551.2140639999998</v>
      </c>
      <c r="J16" s="18">
        <f t="shared" si="5"/>
        <v>-8722.2383452800004</v>
      </c>
      <c r="K16" s="18">
        <f>-224000*1.02*1.02*1.02*1.02*1.02*1.02</f>
        <v>-252260.38191513601</v>
      </c>
      <c r="L16" s="18">
        <f>K16*1.02</f>
        <v>-257305.58955343874</v>
      </c>
      <c r="M16" s="18">
        <f>L16*1.02</f>
        <v>-262451.70134450751</v>
      </c>
    </row>
    <row r="17" spans="1:14" ht="15.75" x14ac:dyDescent="0.25">
      <c r="A17" s="31" t="s">
        <v>8</v>
      </c>
      <c r="B17" s="18">
        <v>-32624</v>
      </c>
      <c r="C17" s="18">
        <f>-B6*0.19</f>
        <v>-36679.5</v>
      </c>
      <c r="D17" s="18">
        <v>-37774</v>
      </c>
      <c r="E17" s="17">
        <f t="shared" ref="E17:M17" si="6">-D6*0.19</f>
        <v>-39971.25</v>
      </c>
      <c r="F17" s="18">
        <f t="shared" si="6"/>
        <v>-41382</v>
      </c>
      <c r="G17" s="18">
        <f t="shared" si="6"/>
        <v>-42322.5</v>
      </c>
      <c r="H17" s="18">
        <f t="shared" si="6"/>
        <v>-43263</v>
      </c>
      <c r="I17" s="18">
        <f t="shared" si="6"/>
        <v>-44203.5</v>
      </c>
      <c r="J17" s="18">
        <f t="shared" si="6"/>
        <v>-45144</v>
      </c>
      <c r="K17" s="18">
        <f t="shared" si="6"/>
        <v>-46084.5</v>
      </c>
      <c r="L17" s="18">
        <f t="shared" si="6"/>
        <v>-47025</v>
      </c>
      <c r="M17" s="18">
        <f t="shared" si="6"/>
        <v>-47965.5</v>
      </c>
    </row>
    <row r="18" spans="1:14" ht="15.75" x14ac:dyDescent="0.25">
      <c r="A18" s="31" t="s">
        <v>9</v>
      </c>
      <c r="B18" s="18">
        <v>-19132</v>
      </c>
      <c r="C18" s="18">
        <v>-19132</v>
      </c>
      <c r="D18" s="18">
        <v>-24070</v>
      </c>
      <c r="E18" s="17">
        <v>-20000</v>
      </c>
      <c r="F18" s="18">
        <f>E18</f>
        <v>-20000</v>
      </c>
      <c r="G18" s="18">
        <f t="shared" ref="G18:M18" si="7">F18</f>
        <v>-20000</v>
      </c>
      <c r="H18" s="18">
        <f t="shared" si="7"/>
        <v>-20000</v>
      </c>
      <c r="I18" s="18">
        <f t="shared" si="7"/>
        <v>-20000</v>
      </c>
      <c r="J18" s="18">
        <f t="shared" si="7"/>
        <v>-20000</v>
      </c>
      <c r="K18" s="18">
        <f t="shared" si="7"/>
        <v>-20000</v>
      </c>
      <c r="L18" s="18">
        <f t="shared" si="7"/>
        <v>-20000</v>
      </c>
      <c r="M18" s="18">
        <f t="shared" si="7"/>
        <v>-20000</v>
      </c>
    </row>
    <row r="19" spans="1:14" ht="15.75" x14ac:dyDescent="0.25">
      <c r="A19" s="31" t="s">
        <v>30</v>
      </c>
      <c r="B19" s="18">
        <f>-37000-51803.3-10609-63900</f>
        <v>-163312.29999999999</v>
      </c>
      <c r="C19" s="18">
        <v>-155000</v>
      </c>
      <c r="D19" s="18">
        <v>-136950</v>
      </c>
      <c r="E19" s="17">
        <v>-71000</v>
      </c>
      <c r="F19" s="18">
        <f>E19</f>
        <v>-71000</v>
      </c>
      <c r="G19" s="18">
        <f t="shared" ref="G19:M19" si="8">F19</f>
        <v>-71000</v>
      </c>
      <c r="H19" s="18">
        <f t="shared" si="8"/>
        <v>-71000</v>
      </c>
      <c r="I19" s="18">
        <f t="shared" si="8"/>
        <v>-71000</v>
      </c>
      <c r="J19" s="18">
        <f t="shared" si="8"/>
        <v>-71000</v>
      </c>
      <c r="K19" s="18">
        <f t="shared" si="8"/>
        <v>-71000</v>
      </c>
      <c r="L19" s="18">
        <f t="shared" si="8"/>
        <v>-71000</v>
      </c>
      <c r="M19" s="18">
        <f t="shared" si="8"/>
        <v>-71000</v>
      </c>
    </row>
    <row r="20" spans="1:14" ht="15.75" x14ac:dyDescent="0.25">
      <c r="A20" s="31" t="s">
        <v>32</v>
      </c>
      <c r="B20" s="18">
        <v>-139762</v>
      </c>
      <c r="C20" s="18">
        <v>-500000</v>
      </c>
      <c r="D20" s="18">
        <v>-412784</v>
      </c>
      <c r="E20" s="17">
        <v>-190000</v>
      </c>
      <c r="F20" s="18">
        <f>E20*1.02</f>
        <v>-193800</v>
      </c>
      <c r="G20" s="18">
        <f t="shared" ref="G20:M20" si="9">F20*1.02</f>
        <v>-197676</v>
      </c>
      <c r="H20" s="18">
        <f t="shared" si="9"/>
        <v>-201629.52</v>
      </c>
      <c r="I20" s="18">
        <f t="shared" si="9"/>
        <v>-205662.11040000001</v>
      </c>
      <c r="J20" s="18">
        <f t="shared" si="9"/>
        <v>-209775.35260800002</v>
      </c>
      <c r="K20" s="18">
        <f t="shared" si="9"/>
        <v>-213970.85966016003</v>
      </c>
      <c r="L20" s="18">
        <f t="shared" si="9"/>
        <v>-218250.27685336323</v>
      </c>
      <c r="M20" s="18">
        <f t="shared" si="9"/>
        <v>-222615.28239043051</v>
      </c>
    </row>
    <row r="21" spans="1:14" ht="15.75" x14ac:dyDescent="0.25">
      <c r="A21" s="31" t="s">
        <v>33</v>
      </c>
      <c r="B21" s="18">
        <v>-59438</v>
      </c>
      <c r="C21" s="18">
        <v>-60080</v>
      </c>
      <c r="D21" s="18">
        <v>-164549</v>
      </c>
      <c r="E21" s="17">
        <v>-100000</v>
      </c>
      <c r="F21" s="18">
        <f>E21*1.02</f>
        <v>-102000</v>
      </c>
      <c r="G21" s="18">
        <f t="shared" ref="G21:M21" si="10">F21*1.02</f>
        <v>-104040</v>
      </c>
      <c r="H21" s="18">
        <f t="shared" si="10"/>
        <v>-106120.8</v>
      </c>
      <c r="I21" s="18">
        <f t="shared" si="10"/>
        <v>-108243.216</v>
      </c>
      <c r="J21" s="18">
        <f t="shared" si="10"/>
        <v>-110408.08032000001</v>
      </c>
      <c r="K21" s="18">
        <f t="shared" si="10"/>
        <v>-112616.24192640001</v>
      </c>
      <c r="L21" s="18">
        <f t="shared" si="10"/>
        <v>-114868.56676492801</v>
      </c>
      <c r="M21" s="18">
        <f t="shared" si="10"/>
        <v>-117165.93810022657</v>
      </c>
    </row>
    <row r="22" spans="1:14" ht="15.75" x14ac:dyDescent="0.25">
      <c r="A22" s="31" t="s">
        <v>20</v>
      </c>
      <c r="B22" s="18">
        <v>-63851</v>
      </c>
      <c r="C22" s="18">
        <f>-40000*1.03</f>
        <v>-41200</v>
      </c>
      <c r="D22" s="18">
        <v>-51112</v>
      </c>
      <c r="E22" s="17">
        <v>-54000</v>
      </c>
      <c r="F22" s="18">
        <f>E22*1.02</f>
        <v>-55080</v>
      </c>
      <c r="G22" s="18">
        <f t="shared" ref="G22:M22" si="11">F22*1.02</f>
        <v>-56181.599999999999</v>
      </c>
      <c r="H22" s="18">
        <f t="shared" si="11"/>
        <v>-57305.231999999996</v>
      </c>
      <c r="I22" s="18">
        <f t="shared" si="11"/>
        <v>-58451.336639999994</v>
      </c>
      <c r="J22" s="18">
        <f t="shared" si="11"/>
        <v>-59620.363372799999</v>
      </c>
      <c r="K22" s="18">
        <f t="shared" si="11"/>
        <v>-60812.770640256</v>
      </c>
      <c r="L22" s="18">
        <f t="shared" si="11"/>
        <v>-62029.026053061119</v>
      </c>
      <c r="M22" s="18">
        <f t="shared" si="11"/>
        <v>-63269.606574122343</v>
      </c>
    </row>
    <row r="23" spans="1:14" ht="15.75" x14ac:dyDescent="0.25">
      <c r="A23" s="31" t="s">
        <v>10</v>
      </c>
      <c r="B23" s="18">
        <v>-568403</v>
      </c>
      <c r="C23" s="18">
        <f>-563530-15054</f>
        <v>-578584</v>
      </c>
      <c r="D23" s="18">
        <v>-536351</v>
      </c>
      <c r="E23" s="17">
        <v>-535769</v>
      </c>
      <c r="F23" s="18">
        <v>-510000</v>
      </c>
      <c r="G23" s="18">
        <v>-500000</v>
      </c>
      <c r="H23" s="18">
        <v>-500000</v>
      </c>
      <c r="I23" s="18">
        <v>-500000</v>
      </c>
      <c r="J23" s="18">
        <v>-500000</v>
      </c>
      <c r="K23" s="18">
        <v>-500000</v>
      </c>
      <c r="L23" s="18">
        <v>-500000</v>
      </c>
      <c r="M23" s="18">
        <v>-500000</v>
      </c>
    </row>
    <row r="24" spans="1:14" ht="15.75" x14ac:dyDescent="0.25">
      <c r="A24" s="31" t="s">
        <v>12</v>
      </c>
      <c r="B24" s="18">
        <v>-154475</v>
      </c>
      <c r="C24" s="18">
        <v>-143000</v>
      </c>
      <c r="D24" s="18">
        <v>-139913</v>
      </c>
      <c r="E24" s="17">
        <v>-125000</v>
      </c>
      <c r="F24" s="18">
        <v>-111000</v>
      </c>
      <c r="G24" s="18">
        <v>-97000</v>
      </c>
      <c r="H24" s="18">
        <v>-77000</v>
      </c>
      <c r="I24" s="18">
        <v>-53000</v>
      </c>
      <c r="J24" s="18">
        <v>-28000</v>
      </c>
      <c r="K24" s="18">
        <v>-7000</v>
      </c>
      <c r="L24" s="18" t="s">
        <v>11</v>
      </c>
      <c r="M24" s="18" t="s">
        <v>11</v>
      </c>
    </row>
    <row r="25" spans="1:14" ht="16.5" thickBot="1" x14ac:dyDescent="0.3">
      <c r="A25" s="32" t="s">
        <v>13</v>
      </c>
      <c r="B25" s="37">
        <f t="shared" ref="B25:M25" si="12">SUM(B16:B24)</f>
        <v>-1208697.3</v>
      </c>
      <c r="C25" s="37">
        <f t="shared" si="12"/>
        <v>-1541395.5</v>
      </c>
      <c r="D25" s="37">
        <f t="shared" si="12"/>
        <v>-1511224</v>
      </c>
      <c r="E25" s="36">
        <f t="shared" si="12"/>
        <v>-1143640.25</v>
      </c>
      <c r="F25" s="37">
        <f t="shared" si="12"/>
        <v>-1112320</v>
      </c>
      <c r="G25" s="37">
        <f t="shared" si="12"/>
        <v>-1096439.26</v>
      </c>
      <c r="H25" s="37">
        <f t="shared" si="12"/>
        <v>-1084702.0951999999</v>
      </c>
      <c r="I25" s="37">
        <f t="shared" si="12"/>
        <v>-1069111.377104</v>
      </c>
      <c r="J25" s="37">
        <f t="shared" si="12"/>
        <v>-1052670.0346460799</v>
      </c>
      <c r="K25" s="37">
        <f t="shared" si="12"/>
        <v>-1283744.7541419519</v>
      </c>
      <c r="L25" s="37">
        <f t="shared" si="12"/>
        <v>-1290478.4592247913</v>
      </c>
      <c r="M25" s="37">
        <f t="shared" si="12"/>
        <v>-1304468.0284092869</v>
      </c>
    </row>
    <row r="26" spans="1:14" ht="9.6" customHeight="1" x14ac:dyDescent="0.35">
      <c r="A26" s="2"/>
      <c r="B26" s="9"/>
      <c r="C26" s="9"/>
      <c r="D26" s="9"/>
      <c r="E26" s="10"/>
      <c r="F26" s="9"/>
      <c r="G26" s="9"/>
      <c r="H26" s="9"/>
      <c r="I26" s="9"/>
      <c r="J26" s="9"/>
      <c r="K26" s="9"/>
      <c r="L26" s="9"/>
      <c r="M26" s="9"/>
    </row>
    <row r="27" spans="1:14" s="1" customFormat="1" ht="18.75" x14ac:dyDescent="0.3">
      <c r="A27" s="26" t="s">
        <v>14</v>
      </c>
      <c r="B27" s="28">
        <v>2020</v>
      </c>
      <c r="C27" s="28">
        <v>2021</v>
      </c>
      <c r="D27" s="28">
        <v>2021</v>
      </c>
      <c r="E27" s="27">
        <v>2022</v>
      </c>
      <c r="F27" s="28">
        <v>2023</v>
      </c>
      <c r="G27" s="28">
        <v>2024</v>
      </c>
      <c r="H27" s="28">
        <v>2025</v>
      </c>
      <c r="I27" s="28">
        <v>2026</v>
      </c>
      <c r="J27" s="28">
        <v>2027</v>
      </c>
      <c r="K27" s="28">
        <v>2028</v>
      </c>
      <c r="L27" s="28">
        <v>2029</v>
      </c>
      <c r="M27" s="28">
        <v>2030</v>
      </c>
      <c r="N27" s="44"/>
    </row>
    <row r="28" spans="1:14" ht="19.149999999999999" customHeight="1" thickBot="1" x14ac:dyDescent="0.3">
      <c r="A28" s="48" t="s">
        <v>15</v>
      </c>
      <c r="B28" s="40">
        <f t="shared" ref="B28:M28" si="13">B13+B25</f>
        <v>59437.699999999953</v>
      </c>
      <c r="C28" s="45">
        <f t="shared" si="13"/>
        <v>-282574.5</v>
      </c>
      <c r="D28" s="45">
        <f t="shared" si="13"/>
        <v>-242849</v>
      </c>
      <c r="E28" s="47">
        <f t="shared" si="13"/>
        <v>310556.75</v>
      </c>
      <c r="F28" s="40">
        <f t="shared" si="13"/>
        <v>183586.33333333326</v>
      </c>
      <c r="G28" s="40">
        <f t="shared" si="13"/>
        <v>202618.07333333325</v>
      </c>
      <c r="H28" s="40">
        <f t="shared" si="13"/>
        <v>221550.23813333339</v>
      </c>
      <c r="I28" s="40">
        <f t="shared" si="13"/>
        <v>244380.83622933342</v>
      </c>
      <c r="J28" s="40">
        <f t="shared" si="13"/>
        <v>268107.8362872533</v>
      </c>
      <c r="K28" s="40">
        <f t="shared" si="13"/>
        <v>44365.467543381266</v>
      </c>
      <c r="L28" s="40">
        <f t="shared" si="13"/>
        <v>45011.740227581933</v>
      </c>
      <c r="M28" s="40">
        <f t="shared" si="13"/>
        <v>38450.728365467163</v>
      </c>
    </row>
    <row r="29" spans="1:14" ht="15.75" x14ac:dyDescent="0.25">
      <c r="A29" s="31" t="s">
        <v>2</v>
      </c>
      <c r="B29" s="15">
        <v>4550562</v>
      </c>
      <c r="C29" s="15">
        <f>B29+C28</f>
        <v>4267987.5</v>
      </c>
      <c r="D29" s="15">
        <f>B29+D28</f>
        <v>4307713</v>
      </c>
      <c r="E29" s="16">
        <f>D29+E28</f>
        <v>4618269.75</v>
      </c>
      <c r="F29" s="15">
        <f t="shared" ref="F29:M29" si="14">E29+F28</f>
        <v>4801856.083333333</v>
      </c>
      <c r="G29" s="15">
        <f t="shared" si="14"/>
        <v>5004474.1566666663</v>
      </c>
      <c r="H29" s="15">
        <f t="shared" si="14"/>
        <v>5226024.3947999999</v>
      </c>
      <c r="I29" s="15">
        <f t="shared" si="14"/>
        <v>5470405.2310293335</v>
      </c>
      <c r="J29" s="15">
        <f t="shared" si="14"/>
        <v>5738513.0673165871</v>
      </c>
      <c r="K29" s="15">
        <f t="shared" si="14"/>
        <v>5782878.5348599683</v>
      </c>
      <c r="L29" s="15">
        <f t="shared" si="14"/>
        <v>5827890.2750875503</v>
      </c>
      <c r="M29" s="15">
        <f t="shared" si="14"/>
        <v>5866341.0034530172</v>
      </c>
    </row>
    <row r="30" spans="1:14" ht="15.75" x14ac:dyDescent="0.25">
      <c r="A30" s="31"/>
      <c r="B30" s="19"/>
      <c r="C30" s="19"/>
      <c r="D30" s="19"/>
      <c r="E30" s="20"/>
      <c r="F30" s="19"/>
      <c r="G30" s="19"/>
      <c r="H30" s="19"/>
      <c r="I30" s="19"/>
      <c r="J30" s="19"/>
      <c r="K30" s="19"/>
      <c r="L30" s="19"/>
      <c r="M30" s="19"/>
    </row>
    <row r="31" spans="1:14" ht="15.75" x14ac:dyDescent="0.25">
      <c r="A31" s="33" t="s">
        <v>16</v>
      </c>
      <c r="B31" s="18">
        <v>1044380.5</v>
      </c>
      <c r="C31" s="18">
        <f>B40</f>
        <v>1259914.2</v>
      </c>
      <c r="D31" s="18">
        <v>1259914</v>
      </c>
      <c r="E31" s="17">
        <f>D40</f>
        <v>1167087</v>
      </c>
      <c r="F31" s="18">
        <f t="shared" ref="F31:M31" si="15">E40</f>
        <v>1365412.75</v>
      </c>
      <c r="G31" s="18">
        <f t="shared" si="15"/>
        <v>1108999.0833333333</v>
      </c>
      <c r="H31" s="18">
        <f t="shared" si="15"/>
        <v>1161617.1566666665</v>
      </c>
      <c r="I31" s="18">
        <f t="shared" si="15"/>
        <v>1233167.3947999999</v>
      </c>
      <c r="J31" s="18">
        <f t="shared" si="15"/>
        <v>1327548.2310293333</v>
      </c>
      <c r="K31" s="18">
        <f t="shared" si="15"/>
        <v>1445656.0673165866</v>
      </c>
      <c r="L31" s="18">
        <f t="shared" si="15"/>
        <v>1752521.5348599679</v>
      </c>
      <c r="M31" s="18">
        <f t="shared" si="15"/>
        <v>537533.27508754982</v>
      </c>
    </row>
    <row r="32" spans="1:14" ht="15.75" x14ac:dyDescent="0.25">
      <c r="A32" s="34" t="s">
        <v>17</v>
      </c>
      <c r="B32" s="18">
        <f t="shared" ref="B32:M32" si="16">B28-B23</f>
        <v>627840.69999999995</v>
      </c>
      <c r="C32" s="18">
        <f t="shared" si="16"/>
        <v>296009.5</v>
      </c>
      <c r="D32" s="18">
        <f t="shared" si="16"/>
        <v>293502</v>
      </c>
      <c r="E32" s="17">
        <f t="shared" si="16"/>
        <v>846325.75</v>
      </c>
      <c r="F32" s="18">
        <f t="shared" si="16"/>
        <v>693586.33333333326</v>
      </c>
      <c r="G32" s="18">
        <f t="shared" si="16"/>
        <v>702618.07333333325</v>
      </c>
      <c r="H32" s="18">
        <f t="shared" si="16"/>
        <v>721550.23813333339</v>
      </c>
      <c r="I32" s="18">
        <f t="shared" si="16"/>
        <v>744380.83622933342</v>
      </c>
      <c r="J32" s="18">
        <f t="shared" si="16"/>
        <v>768107.8362872533</v>
      </c>
      <c r="K32" s="18">
        <f t="shared" si="16"/>
        <v>544365.46754338127</v>
      </c>
      <c r="L32" s="18">
        <f t="shared" si="16"/>
        <v>545011.74022758193</v>
      </c>
      <c r="M32" s="18">
        <f t="shared" si="16"/>
        <v>538450.72836546716</v>
      </c>
    </row>
    <row r="33" spans="1:16" ht="15.75" x14ac:dyDescent="0.25">
      <c r="A33" s="34" t="s">
        <v>40</v>
      </c>
      <c r="B33" s="18">
        <v>120000</v>
      </c>
      <c r="C33" s="18"/>
      <c r="D33" s="18">
        <v>-152000</v>
      </c>
      <c r="E33" s="17">
        <v>152000</v>
      </c>
      <c r="F33" s="18"/>
      <c r="G33" s="18"/>
      <c r="H33" s="18"/>
      <c r="I33" s="18"/>
      <c r="J33" s="18"/>
      <c r="L33" s="18">
        <v>-1660000</v>
      </c>
      <c r="M33" s="18"/>
      <c r="N33" s="18"/>
      <c r="P33" s="39"/>
    </row>
    <row r="34" spans="1:16" ht="15.75" x14ac:dyDescent="0.25">
      <c r="A34" s="31" t="s">
        <v>22</v>
      </c>
      <c r="B34" s="18">
        <v>-550000</v>
      </c>
      <c r="C34" s="18">
        <v>-550000</v>
      </c>
      <c r="D34" s="18">
        <v>-550000</v>
      </c>
      <c r="E34" s="17">
        <v>-550000</v>
      </c>
      <c r="F34" s="18">
        <v>-550000</v>
      </c>
      <c r="G34" s="18">
        <v>-550000</v>
      </c>
      <c r="H34" s="18">
        <v>-550000</v>
      </c>
      <c r="I34" s="18">
        <v>-550000</v>
      </c>
      <c r="J34" s="18">
        <v>-550000</v>
      </c>
      <c r="K34" s="18">
        <v>-137500</v>
      </c>
      <c r="L34" s="18"/>
      <c r="M34" s="18"/>
    </row>
    <row r="35" spans="1:16" ht="15.75" x14ac:dyDescent="0.25">
      <c r="A35" s="31" t="s">
        <v>36</v>
      </c>
      <c r="B35" s="25">
        <v>47941</v>
      </c>
      <c r="C35" s="25"/>
      <c r="D35" s="25">
        <v>315671</v>
      </c>
      <c r="E35" s="17"/>
      <c r="F35" s="18">
        <v>-300000</v>
      </c>
      <c r="G35" s="25"/>
      <c r="H35" s="25"/>
      <c r="I35" s="25"/>
      <c r="J35" s="25"/>
      <c r="K35" s="25"/>
      <c r="L35" s="25"/>
      <c r="M35" s="25"/>
    </row>
    <row r="36" spans="1:16" ht="15.75" x14ac:dyDescent="0.25">
      <c r="A36" s="33" t="s">
        <v>21</v>
      </c>
      <c r="B36" s="18">
        <v>-30248</v>
      </c>
      <c r="C36" s="18"/>
      <c r="D36" s="18"/>
      <c r="E36" s="17"/>
      <c r="F36" s="18"/>
      <c r="G36" s="18"/>
      <c r="H36" s="18"/>
      <c r="I36" s="18"/>
      <c r="J36" s="18"/>
      <c r="K36" s="18"/>
      <c r="L36" s="18"/>
      <c r="M36" s="18"/>
    </row>
    <row r="37" spans="1:16" ht="15.75" x14ac:dyDescent="0.25">
      <c r="A37" s="31" t="s">
        <v>34</v>
      </c>
      <c r="B37" s="18"/>
      <c r="C37" s="18"/>
      <c r="D37" s="18"/>
      <c r="E37" s="17">
        <v>-150000</v>
      </c>
      <c r="F37" s="18"/>
      <c r="G37" s="18"/>
      <c r="H37" s="18"/>
      <c r="I37" s="18"/>
      <c r="J37" s="18"/>
      <c r="K37" s="18"/>
      <c r="L37" s="18"/>
      <c r="M37" s="18"/>
    </row>
    <row r="38" spans="1:16" ht="15.75" x14ac:dyDescent="0.25">
      <c r="A38" s="31" t="s">
        <v>41</v>
      </c>
      <c r="B38" s="18"/>
      <c r="C38" s="18">
        <v>-75000</v>
      </c>
      <c r="D38" s="18"/>
      <c r="E38" s="17">
        <v>-100000</v>
      </c>
      <c r="F38" s="18">
        <v>-100000</v>
      </c>
      <c r="G38" s="18">
        <v>-100000</v>
      </c>
      <c r="H38" s="18">
        <v>-100000</v>
      </c>
      <c r="I38" s="18">
        <v>-100000</v>
      </c>
      <c r="J38" s="18">
        <v>-100000</v>
      </c>
      <c r="K38" s="18">
        <v>-100000</v>
      </c>
      <c r="L38" s="18">
        <v>-100000</v>
      </c>
      <c r="M38" s="18">
        <v>-100000</v>
      </c>
    </row>
    <row r="39" spans="1:16" ht="15.75" x14ac:dyDescent="0.25">
      <c r="A39" s="35" t="s">
        <v>18</v>
      </c>
      <c r="B39" s="22">
        <f t="shared" ref="B39:M39" si="17">SUM(B32:B38)</f>
        <v>215533.69999999995</v>
      </c>
      <c r="C39" s="22">
        <f t="shared" si="17"/>
        <v>-328990.5</v>
      </c>
      <c r="D39" s="22">
        <f t="shared" si="17"/>
        <v>-92827</v>
      </c>
      <c r="E39" s="21">
        <f t="shared" si="17"/>
        <v>198325.75</v>
      </c>
      <c r="F39" s="22">
        <f t="shared" si="17"/>
        <v>-256413.66666666674</v>
      </c>
      <c r="G39" s="22">
        <f t="shared" si="17"/>
        <v>52618.073333333246</v>
      </c>
      <c r="H39" s="22">
        <f t="shared" si="17"/>
        <v>71550.238133333391</v>
      </c>
      <c r="I39" s="22">
        <f t="shared" si="17"/>
        <v>94380.836229333421</v>
      </c>
      <c r="J39" s="22">
        <f t="shared" si="17"/>
        <v>118107.8362872533</v>
      </c>
      <c r="K39" s="22">
        <f t="shared" si="17"/>
        <v>306865.46754338127</v>
      </c>
      <c r="L39" s="22">
        <f t="shared" si="17"/>
        <v>-1214988.2597724181</v>
      </c>
      <c r="M39" s="22">
        <f t="shared" si="17"/>
        <v>438450.72836546716</v>
      </c>
    </row>
    <row r="40" spans="1:16" ht="16.5" thickBot="1" x14ac:dyDescent="0.3">
      <c r="A40" s="29" t="s">
        <v>19</v>
      </c>
      <c r="B40" s="24">
        <f t="shared" ref="B40:M40" si="18">B31+B39</f>
        <v>1259914.2</v>
      </c>
      <c r="C40" s="24">
        <f t="shared" si="18"/>
        <v>930923.7</v>
      </c>
      <c r="D40" s="24">
        <f t="shared" si="18"/>
        <v>1167087</v>
      </c>
      <c r="E40" s="23">
        <f t="shared" si="18"/>
        <v>1365412.75</v>
      </c>
      <c r="F40" s="24">
        <f t="shared" si="18"/>
        <v>1108999.0833333333</v>
      </c>
      <c r="G40" s="24">
        <f t="shared" si="18"/>
        <v>1161617.1566666665</v>
      </c>
      <c r="H40" s="24">
        <f t="shared" si="18"/>
        <v>1233167.3947999999</v>
      </c>
      <c r="I40" s="24">
        <f t="shared" si="18"/>
        <v>1327548.2310293333</v>
      </c>
      <c r="J40" s="24">
        <f t="shared" si="18"/>
        <v>1445656.0673165866</v>
      </c>
      <c r="K40" s="24">
        <f t="shared" si="18"/>
        <v>1752521.5348599679</v>
      </c>
      <c r="L40" s="24">
        <f t="shared" si="18"/>
        <v>537533.27508754982</v>
      </c>
      <c r="M40" s="24">
        <f t="shared" si="18"/>
        <v>975984.00345301698</v>
      </c>
    </row>
    <row r="41" spans="1:16" ht="21.75" thickTop="1" x14ac:dyDescent="0.35">
      <c r="A41" s="2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6" x14ac:dyDescent="0.25">
      <c r="A42" t="s">
        <v>48</v>
      </c>
    </row>
    <row r="43" spans="1:16" x14ac:dyDescent="0.25">
      <c r="A43" t="s">
        <v>61</v>
      </c>
    </row>
    <row r="44" spans="1:16" x14ac:dyDescent="0.25">
      <c r="A44" t="s">
        <v>62</v>
      </c>
    </row>
    <row r="45" spans="1:16" x14ac:dyDescent="0.25">
      <c r="A45" t="s">
        <v>49</v>
      </c>
    </row>
    <row r="46" spans="1:16" x14ac:dyDescent="0.25">
      <c r="A46" t="s">
        <v>54</v>
      </c>
    </row>
    <row r="47" spans="1:16" x14ac:dyDescent="0.25">
      <c r="A47" t="s">
        <v>63</v>
      </c>
    </row>
    <row r="48" spans="1:16" x14ac:dyDescent="0.25">
      <c r="A48" t="s">
        <v>39</v>
      </c>
    </row>
    <row r="49" spans="1:7" x14ac:dyDescent="0.25">
      <c r="A49" t="s">
        <v>35</v>
      </c>
    </row>
    <row r="50" spans="1:7" x14ac:dyDescent="0.25">
      <c r="A50" t="s">
        <v>38</v>
      </c>
    </row>
    <row r="51" spans="1:7" x14ac:dyDescent="0.25">
      <c r="A51" t="s">
        <v>37</v>
      </c>
      <c r="G51" s="39"/>
    </row>
  </sheetData>
  <pageMargins left="0.31496062992125984" right="0.31496062992125984" top="0.35433070866141736" bottom="0.35433070866141736" header="0.31496062992125984" footer="0.31496062992125984"/>
  <pageSetup paperSize="9" scale="6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8FAD2-B394-49CA-BC3C-DDBC4942A906}">
  <dimension ref="A1:B20"/>
  <sheetViews>
    <sheetView workbookViewId="0">
      <selection activeCell="P1" sqref="P1"/>
    </sheetView>
  </sheetViews>
  <sheetFormatPr defaultRowHeight="15" x14ac:dyDescent="0.25"/>
  <cols>
    <col min="1" max="1" width="4.28515625" customWidth="1"/>
  </cols>
  <sheetData>
    <row r="1" spans="1:2" ht="21" x14ac:dyDescent="0.35">
      <c r="A1" s="2" t="s">
        <v>44</v>
      </c>
    </row>
    <row r="3" spans="1:2" ht="15.75" x14ac:dyDescent="0.25">
      <c r="A3" s="31" t="s">
        <v>55</v>
      </c>
    </row>
    <row r="4" spans="1:2" ht="15.75" x14ac:dyDescent="0.25">
      <c r="A4" s="31"/>
      <c r="B4" t="s">
        <v>56</v>
      </c>
    </row>
    <row r="5" spans="1:2" ht="15.75" x14ac:dyDescent="0.25">
      <c r="A5" s="31"/>
      <c r="B5" t="s">
        <v>45</v>
      </c>
    </row>
    <row r="6" spans="1:2" ht="15.75" x14ac:dyDescent="0.25">
      <c r="A6" s="31"/>
      <c r="B6" t="s">
        <v>42</v>
      </c>
    </row>
    <row r="7" spans="1:2" ht="15.75" x14ac:dyDescent="0.25">
      <c r="A7" s="31"/>
    </row>
    <row r="8" spans="1:2" ht="15.75" x14ac:dyDescent="0.25">
      <c r="A8" s="31" t="s">
        <v>57</v>
      </c>
    </row>
    <row r="9" spans="1:2" ht="15.75" x14ac:dyDescent="0.25">
      <c r="A9" s="31"/>
      <c r="B9" t="s">
        <v>58</v>
      </c>
    </row>
    <row r="11" spans="1:2" ht="15.75" x14ac:dyDescent="0.25">
      <c r="A11" s="31" t="s">
        <v>51</v>
      </c>
    </row>
    <row r="12" spans="1:2" x14ac:dyDescent="0.25">
      <c r="B12" t="s">
        <v>52</v>
      </c>
    </row>
    <row r="14" spans="1:2" ht="15.75" x14ac:dyDescent="0.25">
      <c r="A14" s="31" t="s">
        <v>59</v>
      </c>
    </row>
    <row r="15" spans="1:2" ht="15.75" x14ac:dyDescent="0.25">
      <c r="A15" s="31"/>
      <c r="B15" t="s">
        <v>60</v>
      </c>
    </row>
    <row r="16" spans="1:2" x14ac:dyDescent="0.25">
      <c r="B16" t="s">
        <v>46</v>
      </c>
    </row>
    <row r="17" spans="1:2" x14ac:dyDescent="0.25">
      <c r="B17" t="s">
        <v>43</v>
      </c>
    </row>
    <row r="19" spans="1:2" ht="15.75" x14ac:dyDescent="0.25">
      <c r="A19" s="31" t="s">
        <v>50</v>
      </c>
    </row>
    <row r="20" spans="1:2" x14ac:dyDescent="0.25">
      <c r="B20" t="s">
        <v>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Finansplan 2020-2030</vt:lpstr>
      <vt:lpstr>Avgiftshöjningar 2023</vt:lpstr>
      <vt:lpstr>'Finansplan 2020-2030'!Utskriftsområde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</dc:creator>
  <cp:lastModifiedBy>Jonas</cp:lastModifiedBy>
  <cp:lastPrinted>2022-02-15T17:09:03Z</cp:lastPrinted>
  <dcterms:created xsi:type="dcterms:W3CDTF">2020-04-13T11:34:31Z</dcterms:created>
  <dcterms:modified xsi:type="dcterms:W3CDTF">2022-02-27T17:25:28Z</dcterms:modified>
</cp:coreProperties>
</file>